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mann\Desktop\"/>
    </mc:Choice>
  </mc:AlternateContent>
  <xr:revisionPtr revIDLastSave="0" documentId="13_ncr:1_{CBCC8F70-2C1F-4CB5-9A38-2FE0D2D17BFA}" xr6:coauthVersionLast="47" xr6:coauthVersionMax="47" xr10:uidLastSave="{00000000-0000-0000-0000-000000000000}"/>
  <bookViews>
    <workbookView xWindow="-98" yWindow="-98" windowWidth="28996" windowHeight="16395" xr2:uid="{528201B8-C5B3-46D0-8113-53C2BBA96CEA}"/>
  </bookViews>
  <sheets>
    <sheet name="Summary" sheetId="1" r:id="rId1"/>
    <sheet name="Data" sheetId="2" r:id="rId2"/>
  </sheets>
  <definedNames>
    <definedName name="_xlnm.Print_Area" localSheetId="0">Summary!$A$1:$W$23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" i="1" l="1"/>
  <c r="I9" i="1"/>
  <c r="C7" i="1"/>
  <c r="N12" i="1"/>
  <c r="N13" i="1"/>
  <c r="N14" i="1"/>
  <c r="N10" i="1"/>
  <c r="O10" i="1"/>
  <c r="N11" i="1"/>
  <c r="O11" i="1"/>
  <c r="O12" i="1"/>
  <c r="O13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O9" i="1"/>
  <c r="N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J9" i="1"/>
  <c r="H9" i="1"/>
  <c r="B23" i="1"/>
  <c r="B22" i="1"/>
  <c r="T22" i="1" s="1"/>
  <c r="B21" i="1"/>
  <c r="B20" i="1"/>
  <c r="T20" i="1" s="1"/>
  <c r="V20" i="1" s="1"/>
  <c r="W20" i="1" s="1"/>
  <c r="B19" i="1"/>
  <c r="T19" i="1" s="1"/>
  <c r="U19" i="1" s="1"/>
  <c r="B18" i="1"/>
  <c r="B17" i="1"/>
  <c r="S17" i="1" s="1"/>
  <c r="B16" i="1"/>
  <c r="S16" i="1" s="1"/>
  <c r="B15" i="1"/>
  <c r="B14" i="1"/>
  <c r="B13" i="1"/>
  <c r="B12" i="1"/>
  <c r="S12" i="1" s="1"/>
  <c r="B11" i="1"/>
  <c r="S11" i="1" s="1"/>
  <c r="B10" i="1"/>
  <c r="B9" i="1"/>
  <c r="S19" i="1" l="1"/>
  <c r="S23" i="1"/>
  <c r="S22" i="1"/>
  <c r="S20" i="1"/>
  <c r="S21" i="1"/>
  <c r="T21" i="1"/>
  <c r="U21" i="1" s="1"/>
  <c r="T23" i="1"/>
  <c r="U23" i="1" s="1"/>
  <c r="S14" i="1"/>
  <c r="S15" i="1"/>
  <c r="V22" i="1"/>
  <c r="W22" i="1" s="1"/>
  <c r="U22" i="1"/>
  <c r="S13" i="1"/>
  <c r="U20" i="1"/>
  <c r="V19" i="1"/>
  <c r="W19" i="1" s="1"/>
  <c r="Q10" i="1"/>
  <c r="Q16" i="1"/>
  <c r="P10" i="1"/>
  <c r="R10" i="1" s="1"/>
  <c r="S10" i="1" s="1"/>
  <c r="P16" i="1"/>
  <c r="Q22" i="1"/>
  <c r="P13" i="1"/>
  <c r="P20" i="1"/>
  <c r="P18" i="1"/>
  <c r="P17" i="1"/>
  <c r="Q21" i="1"/>
  <c r="Q12" i="1"/>
  <c r="Q15" i="1"/>
  <c r="Q20" i="1"/>
  <c r="Q19" i="1"/>
  <c r="Q18" i="1"/>
  <c r="Q14" i="1"/>
  <c r="Q13" i="1"/>
  <c r="Q11" i="1"/>
  <c r="Q9" i="1"/>
  <c r="P14" i="1"/>
  <c r="P12" i="1"/>
  <c r="P22" i="1"/>
  <c r="P23" i="1"/>
  <c r="P21" i="1"/>
  <c r="P19" i="1"/>
  <c r="P15" i="1"/>
  <c r="P11" i="1"/>
  <c r="Q23" i="1"/>
  <c r="Q17" i="1"/>
  <c r="P9" i="1"/>
  <c r="V23" i="1" l="1"/>
  <c r="W23" i="1" s="1"/>
  <c r="V21" i="1"/>
  <c r="W21" i="1" s="1"/>
  <c r="R16" i="1"/>
  <c r="R13" i="1"/>
  <c r="R20" i="1"/>
  <c r="R18" i="1"/>
  <c r="S18" i="1" s="1"/>
  <c r="R22" i="1"/>
  <c r="R12" i="1"/>
  <c r="R17" i="1"/>
  <c r="R15" i="1"/>
  <c r="R21" i="1"/>
  <c r="R14" i="1"/>
  <c r="R19" i="1"/>
  <c r="R11" i="1"/>
  <c r="R9" i="1"/>
  <c r="S9" i="1" s="1"/>
  <c r="R23" i="1"/>
  <c r="S7" i="1" l="1"/>
  <c r="R7" i="1"/>
  <c r="T14" i="1" l="1"/>
  <c r="T17" i="1"/>
  <c r="T18" i="1"/>
  <c r="T12" i="1"/>
  <c r="T9" i="1"/>
  <c r="T11" i="1"/>
  <c r="T13" i="1"/>
  <c r="T16" i="1"/>
  <c r="T15" i="1"/>
  <c r="T10" i="1"/>
  <c r="U15" i="1" l="1"/>
  <c r="V15" i="1"/>
  <c r="W15" i="1" s="1"/>
  <c r="V11" i="1"/>
  <c r="W11" i="1" s="1"/>
  <c r="U11" i="1"/>
  <c r="U18" i="1"/>
  <c r="V18" i="1"/>
  <c r="W18" i="1" s="1"/>
  <c r="T6" i="1"/>
  <c r="U13" i="1"/>
  <c r="V13" i="1"/>
  <c r="W13" i="1" s="1"/>
  <c r="U12" i="1"/>
  <c r="V12" i="1"/>
  <c r="W12" i="1" s="1"/>
  <c r="V17" i="1"/>
  <c r="W17" i="1" s="1"/>
  <c r="U17" i="1"/>
  <c r="U10" i="1"/>
  <c r="V10" i="1"/>
  <c r="W10" i="1" s="1"/>
  <c r="U16" i="1"/>
  <c r="V16" i="1"/>
  <c r="W16" i="1" s="1"/>
  <c r="V9" i="1"/>
  <c r="W9" i="1" s="1"/>
  <c r="U9" i="1"/>
  <c r="U14" i="1"/>
  <c r="V14" i="1"/>
  <c r="W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Manning</author>
  </authors>
  <commentList>
    <comment ref="F8" authorId="0" shapeId="0" xr:uid="{071E81AE-2575-4EF2-B502-F32692E67992}">
      <text>
        <r>
          <rPr>
            <sz val="9"/>
            <color indexed="81"/>
            <rFont val="Tahoma"/>
            <family val="2"/>
          </rPr>
          <t>Enter total equivalent length of pipe</t>
        </r>
      </text>
    </comment>
    <comment ref="K8" authorId="0" shapeId="0" xr:uid="{0A84C05B-0FC1-4334-B8C4-FDCAC869D4BF}">
      <text>
        <r>
          <rPr>
            <sz val="9"/>
            <color indexed="81"/>
            <rFont val="Tahoma"/>
            <family val="2"/>
          </rPr>
          <t>Enter total equivalent length of pipe</t>
        </r>
      </text>
    </comment>
  </commentList>
</comments>
</file>

<file path=xl/sharedStrings.xml><?xml version="1.0" encoding="utf-8"?>
<sst xmlns="http://schemas.openxmlformats.org/spreadsheetml/2006/main" count="69" uniqueCount="53">
  <si>
    <t>Manifold Design Worksheet</t>
  </si>
  <si>
    <t>Number of Circuits</t>
  </si>
  <si>
    <t>Ckt #</t>
  </si>
  <si>
    <t>Ref gpm</t>
  </si>
  <si>
    <t>Loop Data</t>
  </si>
  <si>
    <t>Loop DR</t>
  </si>
  <si>
    <t>Reference Flow (gpm)</t>
  </si>
  <si>
    <t>Reference Pressure Drop (Feet of Head/100' of Pipe)</t>
  </si>
  <si>
    <t>Size</t>
  </si>
  <si>
    <t>7.4</t>
  </si>
  <si>
    <t>9</t>
  </si>
  <si>
    <t>11</t>
  </si>
  <si>
    <t>13.5</t>
  </si>
  <si>
    <t>15.5</t>
  </si>
  <si>
    <t>17</t>
  </si>
  <si>
    <t>gpm/
loop</t>
  </si>
  <si>
    <t>Ref
DP</t>
  </si>
  <si>
    <t>Loop
DP</t>
  </si>
  <si>
    <t>S/R
DP</t>
  </si>
  <si>
    <t>Ckt
DP</t>
  </si>
  <si>
    <t>S/R
DR</t>
  </si>
  <si>
    <t>S/R
Diam</t>
  </si>
  <si>
    <t>S/R
Length</t>
  </si>
  <si>
    <t>Ref
gpm</t>
  </si>
  <si>
    <t>Loop
Diam</t>
  </si>
  <si>
    <t>Loop
Length</t>
  </si>
  <si>
    <t>Supply/Return Data</t>
  </si>
  <si>
    <t>with
Antifreeze</t>
  </si>
  <si>
    <t>Flow
gpm</t>
  </si>
  <si>
    <t>Average PD</t>
  </si>
  <si>
    <t>Design
Flow</t>
  </si>
  <si>
    <t># of
loops</t>
  </si>
  <si>
    <t>gpm</t>
  </si>
  <si>
    <t>Adjusted Flow to Equal DP</t>
  </si>
  <si>
    <t>Re</t>
  </si>
  <si>
    <t>Water (32 F Freeze Point)</t>
  </si>
  <si>
    <t>7.7% Methanol (25 F Freeze Point)</t>
  </si>
  <si>
    <t>12.0% Methanol (20 F Freeze Point)</t>
  </si>
  <si>
    <t>16.3% Methanol (15 F Freeze Point)</t>
  </si>
  <si>
    <t>12.8% Propylene Glycol (25 F Freeze Point)</t>
  </si>
  <si>
    <t>18.0% Propylene Glycol (20 F Freeze Point)</t>
  </si>
  <si>
    <t>23.0% Propylene Glycol (15 F Freeze Point)</t>
  </si>
  <si>
    <t>Antifeeze Properties</t>
  </si>
  <si>
    <r>
      <t>Density
lb/ft</t>
    </r>
    <r>
      <rPr>
        <vertAlign val="superscript"/>
        <sz val="11"/>
        <color theme="1"/>
        <rFont val="Calibri"/>
        <family val="2"/>
        <scheme val="minor"/>
      </rPr>
      <t>3</t>
    </r>
  </si>
  <si>
    <t>Viscosity
Centipoise</t>
  </si>
  <si>
    <t>PD
Factor</t>
  </si>
  <si>
    <t>% by
Volume</t>
  </si>
  <si>
    <t>Antifreeze</t>
  </si>
  <si>
    <t>Pipe Inside Diameters</t>
  </si>
  <si>
    <t>Factor</t>
  </si>
  <si>
    <t>% vs
Design</t>
  </si>
  <si>
    <t>Project Name</t>
  </si>
  <si>
    <t xml:space="preserve"> - Enter Data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</si>
</sst>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2" fontId="0" fillId="0" borderId="0" xfId="0" applyNumberFormat="1" applyAlignment="1">
      <alignment horizontal="center"/>
    </xf>
    <xf numFmtId="37" fontId="0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7" fontId="0" fillId="0" borderId="0" xfId="2" applyNumberFormat="1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 wrapText="1"/>
    </xf>
    <xf numFmtId="0" fontId="0" fillId="0" borderId="0" xfId="0" quotePrefix="1" applyAlignment="1">
      <alignment horizontal="center" vertical="center" wrapText="1"/>
    </xf>
    <xf numFmtId="3" fontId="2" fillId="0" borderId="0" xfId="3" applyNumberFormat="1" applyFill="1" applyAlignment="1">
      <alignment horizontal="center"/>
    </xf>
    <xf numFmtId="166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3" borderId="0" xfId="0" applyFill="1" applyAlignment="1">
      <alignment vertical="center"/>
    </xf>
  </cellXfs>
  <cellStyles count="4">
    <cellStyle name="Bad" xfId="3" builtinId="27"/>
    <cellStyle name="Comma" xfId="1" builtinId="3"/>
    <cellStyle name="Normal" xfId="0" builtinId="0"/>
    <cellStyle name="Percent" xfId="2" builtinId="5"/>
  </cellStyles>
  <dxfs count="37"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theme="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numFmt numFmtId="165" formatCode="0.000"/>
      <alignment horizontal="center" vertical="bottom" textRotation="0" wrapText="0" indent="0" justifyLastLine="0" shrinkToFit="0" readingOrder="0"/>
    </dxf>
    <dxf>
      <numFmt numFmtId="165" formatCode="0.000"/>
      <alignment horizontal="center" vertical="bottom" textRotation="0" wrapText="0" indent="0" justifyLastLine="0" shrinkToFit="0" readingOrder="0"/>
    </dxf>
    <dxf>
      <numFmt numFmtId="165" formatCode="0.000"/>
      <alignment horizontal="center" vertical="bottom" textRotation="0" wrapText="0" indent="0" justifyLastLine="0" shrinkToFit="0" readingOrder="0"/>
    </dxf>
    <dxf>
      <numFmt numFmtId="165" formatCode="0.000"/>
      <alignment horizontal="center" vertical="bottom" textRotation="0" wrapText="0" indent="0" justifyLastLine="0" shrinkToFit="0" readingOrder="0"/>
    </dxf>
    <dxf>
      <numFmt numFmtId="165" formatCode="0.000"/>
      <alignment horizontal="center" vertical="bottom" textRotation="0" wrapText="0" indent="0" justifyLastLine="0" shrinkToFit="0" readingOrder="0"/>
    </dxf>
    <dxf>
      <numFmt numFmtId="165" formatCode="0.000"/>
      <alignment horizontal="center" vertical="bottom" textRotation="0" wrapText="0" indent="0" justifyLastLine="0" shrinkToFit="0" readingOrder="0"/>
    </dxf>
    <dxf>
      <numFmt numFmtId="17" formatCode="#\ ?/?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0.000"/>
      <alignment horizontal="center" vertical="bottom" textRotation="0" wrapText="0" indent="0" justifyLastLine="0" shrinkToFit="0" readingOrder="0"/>
    </dxf>
    <dxf>
      <numFmt numFmtId="165" formatCode="0.000"/>
      <alignment horizontal="center" vertical="bottom" textRotation="0" wrapText="0" indent="0" justifyLastLine="0" shrinkToFit="0" readingOrder="0"/>
    </dxf>
    <dxf>
      <numFmt numFmtId="165" formatCode="0.000"/>
      <alignment horizontal="center" vertical="bottom" textRotation="0" wrapText="0" indent="0" justifyLastLine="0" shrinkToFit="0" readingOrder="0"/>
    </dxf>
    <dxf>
      <numFmt numFmtId="165" formatCode="0.000"/>
      <alignment horizontal="center" vertical="bottom" textRotation="0" wrapText="0" indent="0" justifyLastLine="0" shrinkToFit="0" readingOrder="0"/>
    </dxf>
    <dxf>
      <numFmt numFmtId="165" formatCode="0.000"/>
      <alignment horizontal="center" vertical="bottom" textRotation="0" wrapText="0" indent="0" justifyLastLine="0" shrinkToFit="0" readingOrder="0"/>
    </dxf>
    <dxf>
      <numFmt numFmtId="165" formatCode="0.000"/>
      <alignment horizontal="center" vertical="bottom" textRotation="0" wrapText="0" indent="0" justifyLastLine="0" shrinkToFit="0" readingOrder="0"/>
    </dxf>
    <dxf>
      <numFmt numFmtId="17" formatCode="#\ ?/?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6" formatCode="0.0"/>
      <alignment horizontal="center" vertical="bottom" textRotation="0" wrapText="0" indent="0" justifyLastLine="0" shrinkToFit="0" readingOrder="0"/>
    </dxf>
    <dxf>
      <numFmt numFmtId="166" formatCode="0.0"/>
      <alignment horizontal="center" vertical="bottom" textRotation="0" wrapText="0" indent="0" justifyLastLine="0" shrinkToFit="0" readingOrder="0"/>
    </dxf>
    <dxf>
      <numFmt numFmtId="166" formatCode="0.0"/>
      <alignment horizontal="center" vertical="bottom" textRotation="0" wrapText="0" indent="0" justifyLastLine="0" shrinkToFit="0" readingOrder="0"/>
    </dxf>
    <dxf>
      <numFmt numFmtId="166" formatCode="0.0"/>
      <alignment horizontal="center" vertical="bottom" textRotation="0" wrapText="0" indent="0" justifyLastLine="0" shrinkToFit="0" readingOrder="0"/>
    </dxf>
    <dxf>
      <numFmt numFmtId="166" formatCode="0.0"/>
      <alignment horizontal="center" vertical="bottom" textRotation="0" wrapText="0" indent="0" justifyLastLine="0" shrinkToFit="0" readingOrder="0"/>
    </dxf>
    <dxf>
      <numFmt numFmtId="166" formatCode="0.0"/>
      <alignment horizontal="center" vertical="bottom" textRotation="0" wrapText="0" indent="0" justifyLastLine="0" shrinkToFit="0" readingOrder="0"/>
    </dxf>
    <dxf>
      <numFmt numFmtId="17" formatCode="#\ ?/?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39" fmlaLink="$D$5" horiz="1" max="15" min="1" page="3"/>
</file>

<file path=xl/ctrlProps/ctrlProp2.xml><?xml version="1.0" encoding="utf-8"?>
<formControlPr xmlns="http://schemas.microsoft.com/office/spreadsheetml/2009/9/main" objectType="Drop" dropLines="7" dropStyle="combo" dx="39" fmlaLink="$K$5" fmlaRange="Data!$B$14:$B$20" noThreeD="1" sel="1" val="0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4763</xdr:colOff>
          <xdr:row>4</xdr:row>
          <xdr:rowOff>19050</xdr:rowOff>
        </xdr:from>
        <xdr:to>
          <xdr:col>6</xdr:col>
          <xdr:colOff>342900</xdr:colOff>
          <xdr:row>4</xdr:row>
          <xdr:rowOff>180975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</xdr:row>
          <xdr:rowOff>166688</xdr:rowOff>
        </xdr:from>
        <xdr:to>
          <xdr:col>16</xdr:col>
          <xdr:colOff>33338</xdr:colOff>
          <xdr:row>5</xdr:row>
          <xdr:rowOff>14288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D72CA5-6C58-454F-8CA0-9A6CB04F951A}" name="Ref_gpm" displayName="Ref_gpm" ref="A2:G11" totalsRowShown="0" headerRowDxfId="36" dataDxfId="35">
  <autoFilter ref="A2:G11" xr:uid="{4BD72CA5-6C58-454F-8CA0-9A6CB04F951A}"/>
  <tableColumns count="7">
    <tableColumn id="1" xr3:uid="{6EA9B2BE-6690-4A11-8B0D-0A34A64860B0}" name="Size" dataDxfId="34"/>
    <tableColumn id="2" xr3:uid="{2B1B846F-B279-44E6-A1F0-5AEAD0539C16}" name="7.4" dataDxfId="33"/>
    <tableColumn id="3" xr3:uid="{A569F77B-E9AB-45BE-A872-525C745A23BD}" name="9" dataDxfId="32"/>
    <tableColumn id="4" xr3:uid="{7766BD21-CC8A-4CB1-9F5E-FACE5B15E1D4}" name="11" dataDxfId="31"/>
    <tableColumn id="5" xr3:uid="{1F561433-AEE6-4DC6-9036-FEAAA98F6C4B}" name="13.5" dataDxfId="30"/>
    <tableColumn id="6" xr3:uid="{2940B685-0726-436B-97D2-AE8E756FFEFA}" name="15.5" dataDxfId="29"/>
    <tableColumn id="7" xr3:uid="{3C69F6BF-1045-426C-B2AF-811CC12CBBDF}" name="17" dataDxfId="28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8F572D7-9C77-49DF-BDBD-9AA069F05543}" name="Ref_DP" displayName="Ref_DP" ref="I2:O11" totalsRowShown="0" headerRowDxfId="27" dataDxfId="26">
  <autoFilter ref="I2:O11" xr:uid="{B8F572D7-9C77-49DF-BDBD-9AA069F05543}"/>
  <tableColumns count="7">
    <tableColumn id="1" xr3:uid="{59B0E6C8-407F-44EA-9163-2B4EC44C0398}" name="Size" dataDxfId="25"/>
    <tableColumn id="2" xr3:uid="{3EB63BEA-4A7F-42A1-91B8-5F9E2730307E}" name="7.4" dataDxfId="24"/>
    <tableColumn id="3" xr3:uid="{3FB49E8D-A2BE-45B9-866F-DB28D06A94D0}" name="9" dataDxfId="23"/>
    <tableColumn id="4" xr3:uid="{A6E06CD7-94C9-424B-9229-37E8AF958FDC}" name="11" dataDxfId="22"/>
    <tableColumn id="5" xr3:uid="{614D4361-6A43-4768-A7AE-2F33396449C2}" name="13.5" dataDxfId="21"/>
    <tableColumn id="6" xr3:uid="{63F9F788-F8FA-4490-BA27-EA68727B58F4}" name="15.5" dataDxfId="20"/>
    <tableColumn id="7" xr3:uid="{1BB18872-6A77-413F-99ED-17DFD0C2827C}" name="17" dataDxfId="19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AF92326-8DC5-4536-8309-611BF57ABEA8}" name="Pipe_ID" displayName="Pipe_ID" ref="A23:G32" totalsRowShown="0" headerRowDxfId="18" dataDxfId="17">
  <autoFilter ref="A23:G32" xr:uid="{7AF92326-8DC5-4536-8309-611BF57ABEA8}"/>
  <tableColumns count="7">
    <tableColumn id="1" xr3:uid="{FFBDCCBA-53F4-42BC-A32C-980091AC4E44}" name="Size" dataDxfId="16"/>
    <tableColumn id="2" xr3:uid="{D91C8384-7CEA-4C51-964A-9364FDCBDADF}" name="7.4" dataDxfId="15"/>
    <tableColumn id="3" xr3:uid="{09E80D86-957F-48A4-AA37-0673784E847F}" name="9" dataDxfId="14"/>
    <tableColumn id="4" xr3:uid="{55553133-0157-401B-AA3D-2C62571DA4F2}" name="11" dataDxfId="13"/>
    <tableColumn id="5" xr3:uid="{8D4B06FA-BDAE-445A-A994-F87AABB43943}" name="13.5" dataDxfId="12"/>
    <tableColumn id="6" xr3:uid="{5BE7053F-C41B-497B-9912-C68E43CEDE8A}" name="15.5" dataDxfId="11"/>
    <tableColumn id="7" xr3:uid="{EB0C1840-A2AB-4F5F-8369-6D7F600B52F6}" name="17" dataDxfId="1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078F6-B160-4A41-9126-9D52C14DA256}">
  <sheetPr codeName="Sheet1">
    <pageSetUpPr fitToPage="1"/>
  </sheetPr>
  <dimension ref="A1:W24"/>
  <sheetViews>
    <sheetView tabSelected="1" zoomScale="160" zoomScaleNormal="160" workbookViewId="0">
      <selection activeCell="R1" sqref="R1:W1"/>
    </sheetView>
  </sheetViews>
  <sheetFormatPr defaultRowHeight="14.25" x14ac:dyDescent="0.45"/>
  <cols>
    <col min="1" max="1" width="2.46484375" customWidth="1"/>
    <col min="2" max="2" width="4.86328125" customWidth="1"/>
    <col min="3" max="3" width="10.46484375" bestFit="1" customWidth="1"/>
    <col min="4" max="4" width="8.6640625" bestFit="1" customWidth="1"/>
    <col min="5" max="5" width="6" customWidth="1"/>
    <col min="6" max="6" width="7.3984375" customWidth="1"/>
    <col min="7" max="7" width="7.3984375" bestFit="1" customWidth="1"/>
    <col min="8" max="8" width="5.06640625" bestFit="1" customWidth="1"/>
    <col min="9" max="9" width="4.73046875" bestFit="1" customWidth="1"/>
    <col min="10" max="10" width="5.73046875" bestFit="1" customWidth="1"/>
    <col min="11" max="11" width="6.19921875" bestFit="1" customWidth="1"/>
    <col min="12" max="12" width="5.06640625" bestFit="1" customWidth="1"/>
    <col min="13" max="13" width="4.73046875" bestFit="1" customWidth="1"/>
    <col min="14" max="14" width="7.3984375" bestFit="1" customWidth="1"/>
    <col min="15" max="15" width="6.73046875" bestFit="1" customWidth="1"/>
    <col min="16" max="16" width="4.73046875" bestFit="1" customWidth="1"/>
    <col min="17" max="17" width="4.59765625" customWidth="1"/>
    <col min="18" max="18" width="6.796875" bestFit="1" customWidth="1"/>
    <col min="19" max="19" width="9.19921875" bestFit="1" customWidth="1"/>
    <col min="21" max="21" width="8.1328125" customWidth="1"/>
    <col min="22" max="22" width="8.265625" customWidth="1"/>
    <col min="23" max="23" width="7.6640625" customWidth="1"/>
  </cols>
  <sheetData>
    <row r="1" spans="1:23" ht="23.25" x14ac:dyDescent="0.7">
      <c r="A1" s="26" t="s">
        <v>0</v>
      </c>
      <c r="B1" s="26"/>
      <c r="C1" s="26"/>
      <c r="D1" s="26"/>
      <c r="E1" s="26"/>
      <c r="F1" s="26"/>
      <c r="R1" s="26" t="s">
        <v>51</v>
      </c>
      <c r="S1" s="26"/>
      <c r="T1" s="26"/>
      <c r="U1" s="26"/>
      <c r="V1" s="26"/>
      <c r="W1" s="26"/>
    </row>
    <row r="2" spans="1:23" ht="11.35" customHeight="1" x14ac:dyDescent="0.7">
      <c r="A2" s="30"/>
      <c r="B2" s="30"/>
      <c r="C2" s="30"/>
      <c r="D2" s="30"/>
      <c r="E2" s="30"/>
      <c r="F2" s="30"/>
      <c r="R2" s="30"/>
      <c r="S2" s="30"/>
      <c r="T2" s="30"/>
      <c r="U2" s="30"/>
      <c r="V2" s="30"/>
      <c r="W2" s="30"/>
    </row>
    <row r="3" spans="1:23" s="3" customFormat="1" ht="14.35" customHeight="1" x14ac:dyDescent="0.45">
      <c r="A3" s="31"/>
      <c r="B3" s="32"/>
      <c r="C3" s="3" t="s">
        <v>52</v>
      </c>
      <c r="D3" s="31"/>
      <c r="E3" s="31"/>
      <c r="F3" s="31"/>
      <c r="R3" s="31"/>
      <c r="S3" s="31"/>
      <c r="T3" s="31"/>
      <c r="U3" s="31"/>
      <c r="V3" s="31"/>
      <c r="W3" s="31"/>
    </row>
    <row r="5" spans="1:23" s="3" customFormat="1" ht="15.75" x14ac:dyDescent="0.45">
      <c r="B5" s="3" t="s">
        <v>1</v>
      </c>
      <c r="D5" s="2">
        <v>1</v>
      </c>
      <c r="I5" s="3" t="s">
        <v>47</v>
      </c>
      <c r="K5" s="3">
        <v>1</v>
      </c>
      <c r="L5"/>
      <c r="M5"/>
      <c r="N5"/>
      <c r="O5"/>
      <c r="P5"/>
      <c r="Q5"/>
      <c r="R5" s="3" t="s">
        <v>49</v>
      </c>
      <c r="S5" s="14">
        <f>+VLOOKUP(K5,Data!$A$14:$I$20,9)</f>
        <v>1</v>
      </c>
    </row>
    <row r="6" spans="1:23" ht="14.25" customHeight="1" thickBot="1" x14ac:dyDescent="0.5">
      <c r="R6" s="24" t="s">
        <v>29</v>
      </c>
      <c r="S6" s="24"/>
      <c r="T6" s="17" t="e">
        <f>+SUM(T9:T23)</f>
        <v>#DIV/0!</v>
      </c>
      <c r="U6" s="3" t="s">
        <v>32</v>
      </c>
      <c r="V6" s="12"/>
    </row>
    <row r="7" spans="1:23" ht="14.65" thickBot="1" x14ac:dyDescent="0.5">
      <c r="C7" s="7">
        <f>+SUM(C9:C23)</f>
        <v>0</v>
      </c>
      <c r="D7" s="27" t="s">
        <v>4</v>
      </c>
      <c r="E7" s="28"/>
      <c r="F7" s="28"/>
      <c r="G7" s="28"/>
      <c r="H7" s="28"/>
      <c r="I7" s="28"/>
      <c r="J7" s="29"/>
      <c r="K7" s="27" t="s">
        <v>26</v>
      </c>
      <c r="L7" s="28"/>
      <c r="M7" s="28"/>
      <c r="N7" s="28"/>
      <c r="O7" s="29"/>
      <c r="R7" s="9" t="e">
        <f>+AVERAGE(R9:R23)</f>
        <v>#DIV/0!</v>
      </c>
      <c r="S7" s="9" t="e">
        <f>+AVERAGE(S9:S23)</f>
        <v>#VALUE!</v>
      </c>
      <c r="T7" s="25" t="s">
        <v>33</v>
      </c>
      <c r="U7" s="25"/>
      <c r="V7" s="25"/>
    </row>
    <row r="8" spans="1:23" ht="28.5" x14ac:dyDescent="0.45">
      <c r="B8" s="4" t="s">
        <v>2</v>
      </c>
      <c r="C8" s="11" t="s">
        <v>30</v>
      </c>
      <c r="D8" s="11" t="s">
        <v>31</v>
      </c>
      <c r="E8" s="11" t="s">
        <v>24</v>
      </c>
      <c r="F8" s="11" t="s">
        <v>25</v>
      </c>
      <c r="G8" s="11" t="s">
        <v>5</v>
      </c>
      <c r="H8" s="11" t="s">
        <v>15</v>
      </c>
      <c r="I8" s="11" t="s">
        <v>23</v>
      </c>
      <c r="J8" s="11" t="s">
        <v>16</v>
      </c>
      <c r="K8" s="11" t="s">
        <v>22</v>
      </c>
      <c r="L8" s="11" t="s">
        <v>21</v>
      </c>
      <c r="M8" s="11" t="s">
        <v>20</v>
      </c>
      <c r="N8" s="11" t="s">
        <v>3</v>
      </c>
      <c r="O8" s="11" t="s">
        <v>16</v>
      </c>
      <c r="P8" s="11" t="s">
        <v>17</v>
      </c>
      <c r="Q8" s="11" t="s">
        <v>18</v>
      </c>
      <c r="R8" s="11" t="s">
        <v>19</v>
      </c>
      <c r="S8" s="11" t="s">
        <v>27</v>
      </c>
      <c r="T8" s="10" t="s">
        <v>28</v>
      </c>
      <c r="U8" s="21" t="s">
        <v>50</v>
      </c>
      <c r="V8" s="10" t="s">
        <v>15</v>
      </c>
      <c r="W8" s="18" t="s">
        <v>34</v>
      </c>
    </row>
    <row r="9" spans="1:23" x14ac:dyDescent="0.45">
      <c r="B9" s="4">
        <f>+IF($D$5&gt;=1,1,"")</f>
        <v>1</v>
      </c>
      <c r="C9" s="22"/>
      <c r="D9" s="1"/>
      <c r="E9" s="5"/>
      <c r="F9" s="6"/>
      <c r="G9" s="1"/>
      <c r="H9" s="8" t="str">
        <f>+IF(C9="","",IF(D9="","",C9/D9))</f>
        <v/>
      </c>
      <c r="I9" s="1" t="str">
        <f>IF(E9="","",VLOOKUP(E9,Ref_gpm[],IF(Summary!G9=7.4,2,IF(Summary!G9=9,3,IF(Summary!G9=11,4,IF(Summary!G9=13.5,5,IF(Summary!G9=15.5,6,7)))))))</f>
        <v/>
      </c>
      <c r="J9" s="14" t="str">
        <f>IF(E9="","",VLOOKUP(E9,Ref_DP[],IF(Summary!G9=7.4,2,IF(Summary!G9=9,3,IF(Summary!G9=11,4,IF(Summary!G9=13.5,5,IF(Summary!G9=15.5,6,7)))))))</f>
        <v/>
      </c>
      <c r="K9" s="6"/>
      <c r="L9" s="5"/>
      <c r="M9" s="1"/>
      <c r="N9" s="1" t="str">
        <f>IF(L9="","",VLOOKUP(L9,Ref_gpm[],IF(Summary!M9=7.4,2,IF(Summary!M9=9,3,IF(Summary!M9=11,4,IF(Summary!M9=13.5,5,IF(Summary!M9=15.5,6,7)))))))</f>
        <v/>
      </c>
      <c r="O9" s="1" t="str">
        <f>IF(L9="","",VLOOKUP(L9,Ref_DP[],IF(Summary!M9=7.4,2,IF(Summary!M9=9,3,IF(Summary!M9=11,4,IF(Summary!M9=13.5,5,IF(Summary!M9=15.5,6,7)))))))</f>
        <v/>
      </c>
      <c r="P9" s="9" t="str">
        <f>+IF(E9="","",(((H9/I9)^2)*J9)*(F9/100))</f>
        <v/>
      </c>
      <c r="Q9" s="9" t="str">
        <f>IF(L9="","",(((C9/N9)^2)*O9)*(K9/100))</f>
        <v/>
      </c>
      <c r="R9" s="23" t="str">
        <f>IF(P9="","",IF(Q9="","",P9+Q9))</f>
        <v/>
      </c>
      <c r="S9" s="9" t="e">
        <f t="shared" ref="S9:S17" si="0">IF(B9="","",R9*$S$5)</f>
        <v>#VALUE!</v>
      </c>
      <c r="T9" s="15" t="e">
        <f t="shared" ref="T9:T17" si="1">IF(B9="","",C9*($R$7/R9)^0.5)</f>
        <v>#DIV/0!</v>
      </c>
      <c r="U9" s="16" t="e">
        <f t="shared" ref="U9:U17" si="2">IF(B9="","",T9/C9)</f>
        <v>#DIV/0!</v>
      </c>
      <c r="V9" s="9" t="e">
        <f t="shared" ref="V9:V17" si="3">IF(B9="","",T9/D9)</f>
        <v>#DIV/0!</v>
      </c>
      <c r="W9" s="6" t="e">
        <f>IF(B9="","",50.7*V9*(VLOOKUP($K$5,Data!$A$14:$I$20,7)/(VLOOKUP(E9,Pipe_ID[],IF(Summary!G9=7.4,2,IF(Summary!G9=9,3,IF(Summary!G9=11,4,IF(Summary!G9=13.5,5,IF(Summary!G9=15.5,6,7))))))*VLOOKUP($K$5,Data!$A$14:$I$20,8))))</f>
        <v>#DIV/0!</v>
      </c>
    </row>
    <row r="10" spans="1:23" x14ac:dyDescent="0.45">
      <c r="B10" s="4" t="str">
        <f>+IF($D$5&gt;=2,2,"")</f>
        <v/>
      </c>
      <c r="C10" s="22"/>
      <c r="D10" s="1"/>
      <c r="E10" s="5"/>
      <c r="F10" s="6"/>
      <c r="G10" s="1"/>
      <c r="H10" s="8" t="str">
        <f t="shared" ref="H10:H23" si="4">+IF(C10="","",IF(D10="","",C10/D10))</f>
        <v/>
      </c>
      <c r="I10" s="1" t="str">
        <f>IF(E10="","",VLOOKUP(E10,Ref_gpm[],IF(Summary!G10=7.4,2,IF(Summary!G10=9,3,IF(Summary!G10=11,4,IF(Summary!G10=13.5,5,IF(Summary!G10=15.5,6,7)))))))</f>
        <v/>
      </c>
      <c r="J10" s="14" t="str">
        <f>IF(E10="","",VLOOKUP(E10,Ref_DP[],IF(Summary!G10=7.4,2,IF(Summary!G10=9,3,IF(Summary!G10=11,4,IF(Summary!G10=13.5,5,IF(Summary!G10=15.5,6,7)))))))</f>
        <v/>
      </c>
      <c r="K10" s="6"/>
      <c r="L10" s="5"/>
      <c r="M10" s="1"/>
      <c r="N10" s="1" t="str">
        <f>IF(L10="","",VLOOKUP(L10,Ref_gpm[],IF(Summary!M10=7.4,2,IF(Summary!M10=9,3,IF(Summary!M10=11,4,IF(Summary!M10=13.5,5,IF(Summary!M10=15.5,6,7)))))))</f>
        <v/>
      </c>
      <c r="O10" s="1" t="str">
        <f>IF(L10="","",VLOOKUP(L10,Ref_DP[],IF(Summary!M10=7.4,2,IF(Summary!M10=9,3,IF(Summary!M10=11,4,IF(Summary!M10=13.5,5,IF(Summary!M10=15.5,6,7)))))))</f>
        <v/>
      </c>
      <c r="P10" s="9" t="str">
        <f t="shared" ref="P10:P23" si="5">+IF(E10="","",(((H10/I10)^2)*J10)*(F10/100))</f>
        <v/>
      </c>
      <c r="Q10" s="9" t="str">
        <f t="shared" ref="Q10:Q23" si="6">IF(L10="","",(((C10/N10)^2)*O10)*(K10/100))</f>
        <v/>
      </c>
      <c r="R10" s="23" t="str">
        <f t="shared" ref="R10:R23" si="7">IF(P10="","",IF(Q10="","",P10+Q10))</f>
        <v/>
      </c>
      <c r="S10" s="9" t="str">
        <f t="shared" si="0"/>
        <v/>
      </c>
      <c r="T10" s="15" t="str">
        <f t="shared" si="1"/>
        <v/>
      </c>
      <c r="U10" s="16" t="str">
        <f t="shared" si="2"/>
        <v/>
      </c>
      <c r="V10" s="9" t="str">
        <f t="shared" si="3"/>
        <v/>
      </c>
      <c r="W10" s="6" t="str">
        <f>IF(B10="","",50.7*V10*(VLOOKUP($K$5,Data!$A$14:$I$20,7)/(VLOOKUP(E10,Pipe_ID[],IF(Summary!G10=7.4,2,IF(Summary!G10=9,3,IF(Summary!G10=11,4,IF(Summary!G10=13.5,5,IF(Summary!G10=15.5,6,7))))))*VLOOKUP($K$5,Data!$A$14:$I$20,8))))</f>
        <v/>
      </c>
    </row>
    <row r="11" spans="1:23" x14ac:dyDescent="0.45">
      <c r="B11" s="4" t="str">
        <f>+IF($D$5&gt;=3,3,"")</f>
        <v/>
      </c>
      <c r="C11" s="22"/>
      <c r="D11" s="1"/>
      <c r="E11" s="5"/>
      <c r="F11" s="6"/>
      <c r="G11" s="1"/>
      <c r="H11" s="8" t="str">
        <f t="shared" si="4"/>
        <v/>
      </c>
      <c r="I11" s="1" t="str">
        <f>IF(E11="","",VLOOKUP(E11,Ref_gpm[],IF(Summary!G11=7.4,2,IF(Summary!G11=9,3,IF(Summary!G11=11,4,IF(Summary!G11=13.5,5,IF(Summary!G11=15.5,6,7)))))))</f>
        <v/>
      </c>
      <c r="J11" s="1" t="str">
        <f>IF(E11="","",VLOOKUP(E11,Ref_DP[],IF(Summary!G11=7.4,2,IF(Summary!G11=9,3,IF(Summary!G11=11,4,IF(Summary!G11=13.5,5,IF(Summary!G11=15.5,6,7)))))))</f>
        <v/>
      </c>
      <c r="K11" s="6"/>
      <c r="L11" s="5"/>
      <c r="M11" s="1"/>
      <c r="N11" s="1" t="str">
        <f>IF(L11="","",VLOOKUP(L11,Ref_gpm[],IF(Summary!M11=7.4,2,IF(Summary!M11=9,3,IF(Summary!M11=11,4,IF(Summary!M11=13.5,5,IF(Summary!M11=15.5,6,7)))))))</f>
        <v/>
      </c>
      <c r="O11" s="1" t="str">
        <f>IF(L11="","",VLOOKUP(L11,Ref_DP[],IF(Summary!M11=7.4,2,IF(Summary!M11=9,3,IF(Summary!M11=11,4,IF(Summary!M11=13.5,5,IF(Summary!M11=15.5,6,7)))))))</f>
        <v/>
      </c>
      <c r="P11" s="9" t="str">
        <f t="shared" si="5"/>
        <v/>
      </c>
      <c r="Q11" s="9" t="str">
        <f t="shared" si="6"/>
        <v/>
      </c>
      <c r="R11" s="23" t="str">
        <f t="shared" si="7"/>
        <v/>
      </c>
      <c r="S11" s="9" t="str">
        <f t="shared" si="0"/>
        <v/>
      </c>
      <c r="T11" s="15" t="str">
        <f t="shared" si="1"/>
        <v/>
      </c>
      <c r="U11" s="16" t="str">
        <f t="shared" si="2"/>
        <v/>
      </c>
      <c r="V11" s="9" t="str">
        <f t="shared" si="3"/>
        <v/>
      </c>
      <c r="W11" s="6" t="str">
        <f>IF(B11="","",50.7*V11*(VLOOKUP($K$5,Data!$A$14:$I$20,7)/(VLOOKUP(E11,Pipe_ID[],IF(Summary!G11=7.4,2,IF(Summary!G11=9,3,IF(Summary!G11=11,4,IF(Summary!G11=13.5,5,IF(Summary!G11=15.5,6,7))))))*VLOOKUP($K$5,Data!$A$14:$I$20,8))))</f>
        <v/>
      </c>
    </row>
    <row r="12" spans="1:23" x14ac:dyDescent="0.45">
      <c r="B12" s="4" t="str">
        <f>+IF($D$5&gt;=4,4,"")</f>
        <v/>
      </c>
      <c r="C12" s="22"/>
      <c r="D12" s="1"/>
      <c r="E12" s="5"/>
      <c r="F12" s="6"/>
      <c r="G12" s="1"/>
      <c r="H12" s="8" t="str">
        <f t="shared" si="4"/>
        <v/>
      </c>
      <c r="I12" s="1" t="str">
        <f>IF(E12="","",VLOOKUP(E12,Ref_gpm[],IF(Summary!G12=7.4,2,IF(Summary!G12=9,3,IF(Summary!G12=11,4,IF(Summary!G12=13.5,5,IF(Summary!G12=15.5,6,7)))))))</f>
        <v/>
      </c>
      <c r="J12" s="1" t="str">
        <f>IF(E12="","",VLOOKUP(E12,Ref_DP[],IF(Summary!G12=7.4,2,IF(Summary!G12=9,3,IF(Summary!G12=11,4,IF(Summary!G12=13.5,5,IF(Summary!G12=15.5,6,7)))))))</f>
        <v/>
      </c>
      <c r="K12" s="6"/>
      <c r="L12" s="5"/>
      <c r="M12" s="1"/>
      <c r="N12" s="1" t="str">
        <f>IF(L12="","",VLOOKUP(L12,Ref_gpm[],IF(Summary!M12=7.4,2,IF(Summary!M12=9,3,IF(Summary!M12=11,4,IF(Summary!M12=13.5,5,IF(Summary!M12=15.5,6,7)))))))</f>
        <v/>
      </c>
      <c r="O12" s="1" t="str">
        <f>IF(L12="","",VLOOKUP(L12,Ref_DP[],IF(Summary!M12=7.4,2,IF(Summary!M12=9,3,IF(Summary!M12=11,4,IF(Summary!M12=13.5,5,IF(Summary!M12=15.5,6,7)))))))</f>
        <v/>
      </c>
      <c r="P12" s="9" t="str">
        <f t="shared" si="5"/>
        <v/>
      </c>
      <c r="Q12" s="9" t="str">
        <f t="shared" si="6"/>
        <v/>
      </c>
      <c r="R12" s="23" t="str">
        <f t="shared" si="7"/>
        <v/>
      </c>
      <c r="S12" s="9" t="str">
        <f t="shared" si="0"/>
        <v/>
      </c>
      <c r="T12" s="15" t="str">
        <f t="shared" si="1"/>
        <v/>
      </c>
      <c r="U12" s="16" t="str">
        <f t="shared" si="2"/>
        <v/>
      </c>
      <c r="V12" s="9" t="str">
        <f t="shared" si="3"/>
        <v/>
      </c>
      <c r="W12" s="6" t="str">
        <f>IF(B12="","",50.7*V12*(VLOOKUP($K$5,Data!$A$14:$I$20,7)/(VLOOKUP(E12,Pipe_ID[],IF(Summary!G12=7.4,2,IF(Summary!G12=9,3,IF(Summary!G12=11,4,IF(Summary!G12=13.5,5,IF(Summary!G12=15.5,6,7))))))*VLOOKUP($K$5,Data!$A$14:$I$20,8))))</f>
        <v/>
      </c>
    </row>
    <row r="13" spans="1:23" x14ac:dyDescent="0.45">
      <c r="B13" s="4" t="str">
        <f>+IF($D$5&gt;=5,5,"")</f>
        <v/>
      </c>
      <c r="C13" s="22"/>
      <c r="D13" s="1"/>
      <c r="E13" s="5"/>
      <c r="F13" s="6"/>
      <c r="G13" s="1"/>
      <c r="H13" s="8" t="str">
        <f t="shared" si="4"/>
        <v/>
      </c>
      <c r="I13" s="1" t="str">
        <f>IF(E13="","",VLOOKUP(E13,Ref_gpm[],IF(Summary!G13=7.4,2,IF(Summary!G13=9,3,IF(Summary!G13=11,4,IF(Summary!G13=13.5,5,IF(Summary!G13=15.5,6,7)))))))</f>
        <v/>
      </c>
      <c r="J13" s="1" t="str">
        <f>IF(E13="","",VLOOKUP(E13,Ref_DP[],IF(Summary!G13=7.4,2,IF(Summary!G13=9,3,IF(Summary!G13=11,4,IF(Summary!G13=13.5,5,IF(Summary!G13=15.5,6,7)))))))</f>
        <v/>
      </c>
      <c r="K13" s="6"/>
      <c r="L13" s="5"/>
      <c r="M13" s="1"/>
      <c r="N13" s="1" t="str">
        <f>IF(L13="","",VLOOKUP(L13,Ref_gpm[],IF(Summary!M13=7.4,2,IF(Summary!M13=9,3,IF(Summary!M13=11,4,IF(Summary!M13=13.5,5,IF(Summary!M13=15.5,6,7)))))))</f>
        <v/>
      </c>
      <c r="O13" s="1" t="str">
        <f>IF(L13="","",VLOOKUP(L13,Ref_DP[],IF(Summary!M13=7.4,2,IF(Summary!M13=9,3,IF(Summary!M13=11,4,IF(Summary!M13=13.5,5,IF(Summary!M13=15.5,6,7)))))))</f>
        <v/>
      </c>
      <c r="P13" s="9" t="str">
        <f t="shared" si="5"/>
        <v/>
      </c>
      <c r="Q13" s="9" t="str">
        <f t="shared" si="6"/>
        <v/>
      </c>
      <c r="R13" s="23" t="str">
        <f t="shared" si="7"/>
        <v/>
      </c>
      <c r="S13" s="9" t="str">
        <f t="shared" si="0"/>
        <v/>
      </c>
      <c r="T13" s="15" t="str">
        <f t="shared" si="1"/>
        <v/>
      </c>
      <c r="U13" s="16" t="str">
        <f t="shared" si="2"/>
        <v/>
      </c>
      <c r="V13" s="9" t="str">
        <f t="shared" si="3"/>
        <v/>
      </c>
      <c r="W13" s="6" t="str">
        <f>IF(B13="","",50.7*V13*(VLOOKUP($K$5,Data!$A$14:$I$20,7)/(VLOOKUP(E13,Pipe_ID[],IF(Summary!G13=7.4,2,IF(Summary!G13=9,3,IF(Summary!G13=11,4,IF(Summary!G13=13.5,5,IF(Summary!G13=15.5,6,7))))))*VLOOKUP($K$5,Data!$A$14:$I$20,8))))</f>
        <v/>
      </c>
    </row>
    <row r="14" spans="1:23" x14ac:dyDescent="0.45">
      <c r="B14" s="4" t="str">
        <f>+IF($D$5&gt;=6,6,"")</f>
        <v/>
      </c>
      <c r="C14" s="22"/>
      <c r="D14" s="1"/>
      <c r="E14" s="5"/>
      <c r="F14" s="6"/>
      <c r="G14" s="1"/>
      <c r="H14" s="8" t="str">
        <f t="shared" si="4"/>
        <v/>
      </c>
      <c r="I14" s="1" t="str">
        <f>IF(E14="","",VLOOKUP(E14,Ref_gpm[],IF(Summary!G14=7.4,2,IF(Summary!G14=9,3,IF(Summary!G14=11,4,IF(Summary!G14=13.5,5,IF(Summary!G14=15.5,6,7)))))))</f>
        <v/>
      </c>
      <c r="J14" s="1" t="str">
        <f>IF(E14="","",VLOOKUP(E14,Ref_DP[],IF(Summary!G14=7.4,2,IF(Summary!G14=9,3,IF(Summary!G14=11,4,IF(Summary!G14=13.5,5,IF(Summary!G14=15.5,6,7)))))))</f>
        <v/>
      </c>
      <c r="K14" s="6"/>
      <c r="L14" s="5"/>
      <c r="M14" s="1"/>
      <c r="N14" s="1" t="str">
        <f>IF(L14="","",VLOOKUP(L14,Ref_gpm[],IF(Summary!M14=7.4,2,IF(Summary!M14=9,3,IF(Summary!M14=11,4,IF(Summary!M14=13.5,5,IF(Summary!M14=15.5,6,7)))))))</f>
        <v/>
      </c>
      <c r="O14" s="1" t="str">
        <f>IF(L14="","",VLOOKUP(L14,Ref_DP[],IF(Summary!M14=7.4,2,IF(Summary!M14=9,3,IF(Summary!M14=11,4,IF(Summary!M14=13.5,5,IF(Summary!M14=15.5,6,7)))))))</f>
        <v/>
      </c>
      <c r="P14" s="9" t="str">
        <f t="shared" si="5"/>
        <v/>
      </c>
      <c r="Q14" s="9" t="str">
        <f t="shared" si="6"/>
        <v/>
      </c>
      <c r="R14" s="23" t="str">
        <f t="shared" si="7"/>
        <v/>
      </c>
      <c r="S14" s="9" t="str">
        <f t="shared" si="0"/>
        <v/>
      </c>
      <c r="T14" s="15" t="str">
        <f t="shared" si="1"/>
        <v/>
      </c>
      <c r="U14" s="16" t="str">
        <f t="shared" si="2"/>
        <v/>
      </c>
      <c r="V14" s="9" t="str">
        <f t="shared" si="3"/>
        <v/>
      </c>
      <c r="W14" s="6" t="str">
        <f>IF(B14="","",50.7*V14*(VLOOKUP($K$5,Data!$A$14:$I$20,7)/(VLOOKUP(E14,Pipe_ID[],IF(Summary!G14=7.4,2,IF(Summary!G14=9,3,IF(Summary!G14=11,4,IF(Summary!G14=13.5,5,IF(Summary!G14=15.5,6,7))))))*VLOOKUP($K$5,Data!$A$14:$I$20,8))))</f>
        <v/>
      </c>
    </row>
    <row r="15" spans="1:23" x14ac:dyDescent="0.45">
      <c r="B15" s="4" t="str">
        <f>+IF($D$5&gt;=7,7,"")</f>
        <v/>
      </c>
      <c r="C15" s="22"/>
      <c r="D15" s="1"/>
      <c r="E15" s="5"/>
      <c r="F15" s="6"/>
      <c r="G15" s="1"/>
      <c r="H15" s="8" t="str">
        <f t="shared" si="4"/>
        <v/>
      </c>
      <c r="I15" s="1" t="str">
        <f>IF(E15="","",VLOOKUP(E15,Ref_gpm[],IF(Summary!G15=7.4,2,IF(Summary!G15=9,3,IF(Summary!G15=11,4,IF(Summary!G15=13.5,5,IF(Summary!G15=15.5,6,7)))))))</f>
        <v/>
      </c>
      <c r="J15" s="1" t="str">
        <f>IF(E15="","",VLOOKUP(E15,Ref_DP[],IF(Summary!G15=7.4,2,IF(Summary!G15=9,3,IF(Summary!G15=11,4,IF(Summary!G15=13.5,5,IF(Summary!G15=15.5,6,7)))))))</f>
        <v/>
      </c>
      <c r="K15" s="6"/>
      <c r="L15" s="5"/>
      <c r="M15" s="1"/>
      <c r="N15" s="1" t="str">
        <f>IF(L15="","",VLOOKUP(L15,Ref_gpm[],IF(Summary!M15=7.4,2,IF(Summary!M15=9,3,IF(Summary!M15=11,4,IF(Summary!M15=13.5,5,IF(Summary!M15=15.5,6,7)))))))</f>
        <v/>
      </c>
      <c r="O15" s="1" t="str">
        <f>IF(L15="","",VLOOKUP(L15,Ref_DP[],IF(Summary!M15=7.4,2,IF(Summary!M15=9,3,IF(Summary!M15=11,4,IF(Summary!M15=13.5,5,IF(Summary!M15=15.5,6,7)))))))</f>
        <v/>
      </c>
      <c r="P15" s="9" t="str">
        <f t="shared" si="5"/>
        <v/>
      </c>
      <c r="Q15" s="9" t="str">
        <f t="shared" si="6"/>
        <v/>
      </c>
      <c r="R15" s="23" t="str">
        <f t="shared" si="7"/>
        <v/>
      </c>
      <c r="S15" s="9" t="str">
        <f t="shared" si="0"/>
        <v/>
      </c>
      <c r="T15" s="15" t="str">
        <f t="shared" si="1"/>
        <v/>
      </c>
      <c r="U15" s="16" t="str">
        <f t="shared" si="2"/>
        <v/>
      </c>
      <c r="V15" s="9" t="str">
        <f t="shared" si="3"/>
        <v/>
      </c>
      <c r="W15" s="6" t="str">
        <f>IF(B15="","",50.7*V15*(VLOOKUP($K$5,Data!$A$14:$I$20,7)/(VLOOKUP(E15,Pipe_ID[],IF(Summary!G15=7.4,2,IF(Summary!G15=9,3,IF(Summary!G15=11,4,IF(Summary!G15=13.5,5,IF(Summary!G15=15.5,6,7))))))*VLOOKUP($K$5,Data!$A$14:$I$20,8))))</f>
        <v/>
      </c>
    </row>
    <row r="16" spans="1:23" x14ac:dyDescent="0.45">
      <c r="B16" s="4" t="str">
        <f>+IF($D$5&gt;=8,8,"")</f>
        <v/>
      </c>
      <c r="C16" s="22"/>
      <c r="D16" s="1"/>
      <c r="E16" s="5"/>
      <c r="F16" s="6"/>
      <c r="G16" s="1"/>
      <c r="H16" s="8" t="str">
        <f t="shared" si="4"/>
        <v/>
      </c>
      <c r="I16" s="1" t="str">
        <f>IF(E16="","",VLOOKUP(E16,Ref_gpm[],IF(Summary!G16=7.4,2,IF(Summary!G16=9,3,IF(Summary!G16=11,4,IF(Summary!G16=13.5,5,IF(Summary!G16=15.5,6,7)))))))</f>
        <v/>
      </c>
      <c r="J16" s="1" t="str">
        <f>IF(E16="","",VLOOKUP(E16,Ref_DP[],IF(Summary!G16=7.4,2,IF(Summary!G16=9,3,IF(Summary!G16=11,4,IF(Summary!G16=13.5,5,IF(Summary!G16=15.5,6,7)))))))</f>
        <v/>
      </c>
      <c r="K16" s="6"/>
      <c r="L16" s="5"/>
      <c r="M16" s="1"/>
      <c r="N16" s="1" t="str">
        <f>IF(L16="","",VLOOKUP(L16,Ref_gpm[],IF(Summary!M16=7.4,2,IF(Summary!M16=9,3,IF(Summary!M16=11,4,IF(Summary!M16=13.5,5,IF(Summary!M16=15.5,6,7)))))))</f>
        <v/>
      </c>
      <c r="O16" s="1" t="str">
        <f>IF(L16="","",VLOOKUP(L16,Ref_DP[],IF(Summary!M16=7.4,2,IF(Summary!M16=9,3,IF(Summary!M16=11,4,IF(Summary!M16=13.5,5,IF(Summary!M16=15.5,6,7)))))))</f>
        <v/>
      </c>
      <c r="P16" s="9" t="str">
        <f t="shared" si="5"/>
        <v/>
      </c>
      <c r="Q16" s="9" t="str">
        <f t="shared" si="6"/>
        <v/>
      </c>
      <c r="R16" s="23" t="str">
        <f t="shared" si="7"/>
        <v/>
      </c>
      <c r="S16" s="9" t="str">
        <f t="shared" si="0"/>
        <v/>
      </c>
      <c r="T16" s="15" t="str">
        <f t="shared" si="1"/>
        <v/>
      </c>
      <c r="U16" s="16" t="str">
        <f t="shared" si="2"/>
        <v/>
      </c>
      <c r="V16" s="9" t="str">
        <f t="shared" si="3"/>
        <v/>
      </c>
      <c r="W16" s="6" t="str">
        <f>IF(B16="","",50.7*V16*(VLOOKUP($K$5,Data!$A$14:$I$20,7)/(VLOOKUP(E16,Pipe_ID[],IF(Summary!G16=7.4,2,IF(Summary!G16=9,3,IF(Summary!G16=11,4,IF(Summary!G16=13.5,5,IF(Summary!G16=15.5,6,7))))))*VLOOKUP($K$5,Data!$A$14:$I$20,8))))</f>
        <v/>
      </c>
    </row>
    <row r="17" spans="2:23" x14ac:dyDescent="0.45">
      <c r="B17" s="4" t="str">
        <f>+IF($D$5&gt;=9,9,"")</f>
        <v/>
      </c>
      <c r="C17" s="22"/>
      <c r="D17" s="1"/>
      <c r="E17" s="5"/>
      <c r="F17" s="6"/>
      <c r="G17" s="1"/>
      <c r="H17" s="8" t="str">
        <f t="shared" si="4"/>
        <v/>
      </c>
      <c r="I17" s="1" t="str">
        <f>IF(E17="","",VLOOKUP(E17,Ref_gpm[],IF(Summary!G17=7.4,2,IF(Summary!G17=9,3,IF(Summary!G17=11,4,IF(Summary!G17=13.5,5,IF(Summary!G17=15.5,6,7)))))))</f>
        <v/>
      </c>
      <c r="J17" s="1" t="str">
        <f>IF(E17="","",VLOOKUP(E17,Ref_DP[],IF(Summary!G17=7.4,2,IF(Summary!G17=9,3,IF(Summary!G17=11,4,IF(Summary!G17=13.5,5,IF(Summary!G17=15.5,6,7)))))))</f>
        <v/>
      </c>
      <c r="K17" s="6"/>
      <c r="L17" s="5"/>
      <c r="M17" s="1"/>
      <c r="N17" s="1" t="str">
        <f>IF(L17="","",VLOOKUP(L17,Ref_gpm[],IF(Summary!M17=7.4,2,IF(Summary!M17=9,3,IF(Summary!M17=11,4,IF(Summary!M17=13.5,5,IF(Summary!M17=15.5,6,7)))))))</f>
        <v/>
      </c>
      <c r="O17" s="1" t="str">
        <f>IF(L17="","",VLOOKUP(L17,Ref_DP[],IF(Summary!M17=7.4,2,IF(Summary!M17=9,3,IF(Summary!M17=11,4,IF(Summary!M17=13.5,5,IF(Summary!M17=15.5,6,7)))))))</f>
        <v/>
      </c>
      <c r="P17" s="9" t="str">
        <f t="shared" si="5"/>
        <v/>
      </c>
      <c r="Q17" s="9" t="str">
        <f t="shared" si="6"/>
        <v/>
      </c>
      <c r="R17" s="23" t="str">
        <f t="shared" si="7"/>
        <v/>
      </c>
      <c r="S17" s="9" t="str">
        <f t="shared" si="0"/>
        <v/>
      </c>
      <c r="T17" s="15" t="str">
        <f t="shared" si="1"/>
        <v/>
      </c>
      <c r="U17" s="16" t="str">
        <f t="shared" si="2"/>
        <v/>
      </c>
      <c r="V17" s="9" t="str">
        <f t="shared" si="3"/>
        <v/>
      </c>
      <c r="W17" s="6" t="str">
        <f>IF(B17="","",50.7*V17*(VLOOKUP($K$5,Data!$A$14:$I$20,7)/(VLOOKUP(E17,Pipe_ID[],IF(Summary!G17=7.4,2,IF(Summary!G17=9,3,IF(Summary!G17=11,4,IF(Summary!G17=13.5,5,IF(Summary!G17=15.5,6,7))))))*VLOOKUP($K$5,Data!$A$14:$I$20,8))))</f>
        <v/>
      </c>
    </row>
    <row r="18" spans="2:23" x14ac:dyDescent="0.45">
      <c r="B18" s="4" t="str">
        <f>+IF($D$5&gt;=10,10,"")</f>
        <v/>
      </c>
      <c r="C18" s="22"/>
      <c r="D18" s="1"/>
      <c r="E18" s="5"/>
      <c r="F18" s="6"/>
      <c r="G18" s="1"/>
      <c r="H18" s="8" t="str">
        <f t="shared" si="4"/>
        <v/>
      </c>
      <c r="I18" s="1" t="str">
        <f>IF(E18="","",VLOOKUP(E18,Ref_gpm[],IF(Summary!G18=7.4,2,IF(Summary!G18=9,3,IF(Summary!G18=11,4,IF(Summary!G18=13.5,5,IF(Summary!G18=15.5,6,7)))))))</f>
        <v/>
      </c>
      <c r="J18" s="1" t="str">
        <f>IF(E18="","",VLOOKUP(E18,Ref_DP[],IF(Summary!G18=7.4,2,IF(Summary!G18=9,3,IF(Summary!G18=11,4,IF(Summary!G18=13.5,5,IF(Summary!G18=15.5,6,7)))))))</f>
        <v/>
      </c>
      <c r="K18" s="6"/>
      <c r="L18" s="5"/>
      <c r="M18" s="1"/>
      <c r="N18" s="1" t="str">
        <f>IF(L18="","",VLOOKUP(L18,Ref_gpm[],IF(Summary!M18=7.4,2,IF(Summary!M18=9,3,IF(Summary!M18=11,4,IF(Summary!M18=13.5,5,IF(Summary!M18=15.5,6,7)))))))</f>
        <v/>
      </c>
      <c r="O18" s="1" t="str">
        <f>IF(L18="","",VLOOKUP(L18,Ref_DP[],IF(Summary!M18=7.4,2,IF(Summary!M18=9,3,IF(Summary!M18=11,4,IF(Summary!M18=13.5,5,IF(Summary!M18=15.5,6,7)))))))</f>
        <v/>
      </c>
      <c r="P18" s="9" t="str">
        <f t="shared" si="5"/>
        <v/>
      </c>
      <c r="Q18" s="9" t="str">
        <f t="shared" si="6"/>
        <v/>
      </c>
      <c r="R18" s="23" t="str">
        <f t="shared" si="7"/>
        <v/>
      </c>
      <c r="S18" s="9" t="str">
        <f>IF(B18="","",R18*$S$5)</f>
        <v/>
      </c>
      <c r="T18" s="15" t="str">
        <f>IF(B18="","",C18*($R$7/R18)^0.5)</f>
        <v/>
      </c>
      <c r="U18" s="16" t="str">
        <f>IF(B18="","",T18/C18)</f>
        <v/>
      </c>
      <c r="V18" s="9" t="str">
        <f>IF(B18="","",T18/D18)</f>
        <v/>
      </c>
      <c r="W18" s="6" t="str">
        <f>IF(B18="","",50.7*V18*(VLOOKUP($K$5,Data!$A$14:$I$20,7)/(VLOOKUP(E18,Pipe_ID[],IF(Summary!G18=7.4,2,IF(Summary!G18=9,3,IF(Summary!G18=11,4,IF(Summary!G18=13.5,5,IF(Summary!G18=15.5,6,7))))))*VLOOKUP($K$5,Data!$A$14:$I$20,8))))</f>
        <v/>
      </c>
    </row>
    <row r="19" spans="2:23" x14ac:dyDescent="0.45">
      <c r="B19" s="4" t="str">
        <f>+IF($D$5&gt;=11,11,"")</f>
        <v/>
      </c>
      <c r="C19" s="22"/>
      <c r="D19" s="1"/>
      <c r="E19" s="5"/>
      <c r="F19" s="6"/>
      <c r="G19" s="1"/>
      <c r="H19" s="8" t="str">
        <f t="shared" si="4"/>
        <v/>
      </c>
      <c r="I19" s="1" t="str">
        <f>IF(E19="","",VLOOKUP(E19,Ref_gpm[],IF(Summary!G19=7.4,2,IF(Summary!G19=9,3,IF(Summary!G19=11,4,IF(Summary!G19=13.5,5,IF(Summary!G19=15.5,6,7)))))))</f>
        <v/>
      </c>
      <c r="J19" s="1" t="str">
        <f>IF(E19="","",VLOOKUP(E19,Ref_DP[],IF(Summary!G19=7.4,2,IF(Summary!G19=9,3,IF(Summary!G19=11,4,IF(Summary!G19=13.5,5,IF(Summary!G19=15.5,6,7)))))))</f>
        <v/>
      </c>
      <c r="K19" s="6"/>
      <c r="L19" s="5"/>
      <c r="M19" s="1"/>
      <c r="N19" s="1" t="str">
        <f>IF(L19="","",VLOOKUP(L19,Ref_gpm[],IF(Summary!M19=7.4,2,IF(Summary!M19=9,3,IF(Summary!M19=11,4,IF(Summary!M19=13.5,5,IF(Summary!M19=15.5,6,7)))))))</f>
        <v/>
      </c>
      <c r="O19" s="1" t="str">
        <f>IF(L19="","",VLOOKUP(L19,Ref_DP[],IF(Summary!M19=7.4,2,IF(Summary!M19=9,3,IF(Summary!M19=11,4,IF(Summary!M19=13.5,5,IF(Summary!M19=15.5,6,7)))))))</f>
        <v/>
      </c>
      <c r="P19" s="9" t="str">
        <f t="shared" si="5"/>
        <v/>
      </c>
      <c r="Q19" s="9" t="str">
        <f t="shared" si="6"/>
        <v/>
      </c>
      <c r="R19" s="23" t="str">
        <f t="shared" si="7"/>
        <v/>
      </c>
      <c r="S19" s="9" t="str">
        <f t="shared" ref="S19:S23" si="8">IF(B19="","",R19*$S$5)</f>
        <v/>
      </c>
      <c r="T19" s="15" t="str">
        <f t="shared" ref="T19:T23" si="9">IF(B19="","",C19*($R$7/R19)^0.5)</f>
        <v/>
      </c>
      <c r="U19" s="16" t="str">
        <f t="shared" ref="U19:U23" si="10">IF(B19="","",T19/C19)</f>
        <v/>
      </c>
      <c r="V19" s="9" t="str">
        <f t="shared" ref="V19:V23" si="11">IF(B19="","",T19/D19)</f>
        <v/>
      </c>
      <c r="W19" s="6" t="str">
        <f>IF(B19="","",50.7*V19*(VLOOKUP($K$5,Data!$A$14:$I$20,7)/(VLOOKUP(E19,Pipe_ID[],IF(Summary!G19=7.4,2,IF(Summary!G19=9,3,IF(Summary!G19=11,4,IF(Summary!G19=13.5,5,IF(Summary!G19=15.5,6,7))))))*VLOOKUP($K$5,Data!$A$14:$I$20,8))))</f>
        <v/>
      </c>
    </row>
    <row r="20" spans="2:23" x14ac:dyDescent="0.45">
      <c r="B20" s="4" t="str">
        <f>+IF($D$5&gt;=12,12,"")</f>
        <v/>
      </c>
      <c r="C20" s="22"/>
      <c r="D20" s="1"/>
      <c r="E20" s="5"/>
      <c r="F20" s="6"/>
      <c r="G20" s="1"/>
      <c r="H20" s="8" t="str">
        <f t="shared" si="4"/>
        <v/>
      </c>
      <c r="I20" s="1" t="str">
        <f>IF(E20="","",VLOOKUP(E20,Ref_gpm[],IF(Summary!G20=7.4,2,IF(Summary!G20=9,3,IF(Summary!G20=11,4,IF(Summary!G20=13.5,5,IF(Summary!G20=15.5,6,7)))))))</f>
        <v/>
      </c>
      <c r="J20" s="1" t="str">
        <f>IF(E20="","",VLOOKUP(E20,Ref_DP[],IF(Summary!G20=7.4,2,IF(Summary!G20=9,3,IF(Summary!G20=11,4,IF(Summary!G20=13.5,5,IF(Summary!G20=15.5,6,7)))))))</f>
        <v/>
      </c>
      <c r="K20" s="6"/>
      <c r="L20" s="5"/>
      <c r="M20" s="1"/>
      <c r="N20" s="1" t="str">
        <f>IF(L20="","",VLOOKUP(L20,Ref_gpm[],IF(Summary!M20=7.4,2,IF(Summary!M20=9,3,IF(Summary!M20=11,4,IF(Summary!M20=13.5,5,IF(Summary!M20=15.5,6,7)))))))</f>
        <v/>
      </c>
      <c r="O20" s="1" t="str">
        <f>IF(L20="","",VLOOKUP(L20,Ref_DP[],IF(Summary!M20=7.4,2,IF(Summary!M20=9,3,IF(Summary!M20=11,4,IF(Summary!M20=13.5,5,IF(Summary!M20=15.5,6,7)))))))</f>
        <v/>
      </c>
      <c r="P20" s="9" t="str">
        <f t="shared" si="5"/>
        <v/>
      </c>
      <c r="Q20" s="9" t="str">
        <f t="shared" si="6"/>
        <v/>
      </c>
      <c r="R20" s="23" t="str">
        <f t="shared" si="7"/>
        <v/>
      </c>
      <c r="S20" s="9" t="str">
        <f t="shared" si="8"/>
        <v/>
      </c>
      <c r="T20" s="15" t="str">
        <f t="shared" si="9"/>
        <v/>
      </c>
      <c r="U20" s="16" t="str">
        <f t="shared" si="10"/>
        <v/>
      </c>
      <c r="V20" s="9" t="str">
        <f t="shared" si="11"/>
        <v/>
      </c>
      <c r="W20" s="6" t="str">
        <f>IF(B20="","",50.7*V20*(VLOOKUP($K$5,Data!$A$14:$I$20,7)/(VLOOKUP(E20,Pipe_ID[],IF(Summary!G20=7.4,2,IF(Summary!G20=9,3,IF(Summary!G20=11,4,IF(Summary!G20=13.5,5,IF(Summary!G20=15.5,6,7))))))*VLOOKUP($K$5,Data!$A$14:$I$20,8))))</f>
        <v/>
      </c>
    </row>
    <row r="21" spans="2:23" x14ac:dyDescent="0.45">
      <c r="B21" s="4" t="str">
        <f>+IF($D$5&gt;=13,13,"")</f>
        <v/>
      </c>
      <c r="C21" s="22"/>
      <c r="D21" s="1"/>
      <c r="E21" s="5"/>
      <c r="F21" s="6"/>
      <c r="G21" s="1"/>
      <c r="H21" s="8" t="str">
        <f t="shared" si="4"/>
        <v/>
      </c>
      <c r="I21" s="1" t="str">
        <f>IF(E21="","",VLOOKUP(E21,Ref_gpm[],IF(Summary!G21=7.4,2,IF(Summary!G21=9,3,IF(Summary!G21=11,4,IF(Summary!G21=13.5,5,IF(Summary!G21=15.5,6,7)))))))</f>
        <v/>
      </c>
      <c r="J21" s="1" t="str">
        <f>IF(E21="","",VLOOKUP(E21,Ref_DP[],IF(Summary!G21=7.4,2,IF(Summary!G21=9,3,IF(Summary!G21=11,4,IF(Summary!G21=13.5,5,IF(Summary!G21=15.5,6,7)))))))</f>
        <v/>
      </c>
      <c r="K21" s="6"/>
      <c r="L21" s="5"/>
      <c r="M21" s="1"/>
      <c r="N21" s="1" t="str">
        <f>IF(L21="","",VLOOKUP(L21,Ref_gpm[],IF(Summary!M21=7.4,2,IF(Summary!M21=9,3,IF(Summary!M21=11,4,IF(Summary!M21=13.5,5,IF(Summary!M21=15.5,6,7)))))))</f>
        <v/>
      </c>
      <c r="O21" s="1" t="str">
        <f>IF(L21="","",VLOOKUP(L21,Ref_DP[],IF(Summary!M21=7.4,2,IF(Summary!M21=9,3,IF(Summary!M21=11,4,IF(Summary!M21=13.5,5,IF(Summary!M21=15.5,6,7)))))))</f>
        <v/>
      </c>
      <c r="P21" s="9" t="str">
        <f t="shared" si="5"/>
        <v/>
      </c>
      <c r="Q21" s="9" t="str">
        <f t="shared" si="6"/>
        <v/>
      </c>
      <c r="R21" s="23" t="str">
        <f t="shared" si="7"/>
        <v/>
      </c>
      <c r="S21" s="9" t="str">
        <f t="shared" si="8"/>
        <v/>
      </c>
      <c r="T21" s="15" t="str">
        <f t="shared" si="9"/>
        <v/>
      </c>
      <c r="U21" s="16" t="str">
        <f t="shared" si="10"/>
        <v/>
      </c>
      <c r="V21" s="9" t="str">
        <f t="shared" si="11"/>
        <v/>
      </c>
      <c r="W21" s="6" t="str">
        <f>IF(B21="","",50.7*V21*(VLOOKUP($K$5,Data!$A$14:$I$20,7)/(VLOOKUP(E21,Pipe_ID[],IF(Summary!G21=7.4,2,IF(Summary!G21=9,3,IF(Summary!G21=11,4,IF(Summary!G21=13.5,5,IF(Summary!G21=15.5,6,7))))))*VLOOKUP($K$5,Data!$A$14:$I$20,8))))</f>
        <v/>
      </c>
    </row>
    <row r="22" spans="2:23" x14ac:dyDescent="0.45">
      <c r="B22" s="4" t="str">
        <f>+IF($D$5&gt;=14,14,"")</f>
        <v/>
      </c>
      <c r="C22" s="22"/>
      <c r="D22" s="1"/>
      <c r="E22" s="5"/>
      <c r="F22" s="6"/>
      <c r="G22" s="1"/>
      <c r="H22" s="8" t="str">
        <f t="shared" si="4"/>
        <v/>
      </c>
      <c r="I22" s="1" t="str">
        <f>IF(E22="","",VLOOKUP(E22,Ref_gpm[],IF(Summary!G22=7.4,2,IF(Summary!G22=9,3,IF(Summary!G22=11,4,IF(Summary!G22=13.5,5,IF(Summary!G22=15.5,6,7)))))))</f>
        <v/>
      </c>
      <c r="J22" s="1" t="str">
        <f>IF(E22="","",VLOOKUP(E22,Ref_DP[],IF(Summary!G22=7.4,2,IF(Summary!G22=9,3,IF(Summary!G22=11,4,IF(Summary!G22=13.5,5,IF(Summary!G22=15.5,6,7)))))))</f>
        <v/>
      </c>
      <c r="K22" s="6"/>
      <c r="L22" s="5"/>
      <c r="M22" s="1"/>
      <c r="N22" s="1" t="str">
        <f>IF(L22="","",VLOOKUP(L22,Ref_gpm[],IF(Summary!M22=7.4,2,IF(Summary!M22=9,3,IF(Summary!M22=11,4,IF(Summary!M22=13.5,5,IF(Summary!M22=15.5,6,7)))))))</f>
        <v/>
      </c>
      <c r="O22" s="1" t="str">
        <f>IF(L22="","",VLOOKUP(L22,Ref_DP[],IF(Summary!M22=7.4,2,IF(Summary!M22=9,3,IF(Summary!M22=11,4,IF(Summary!M22=13.5,5,IF(Summary!M22=15.5,6,7)))))))</f>
        <v/>
      </c>
      <c r="P22" s="9" t="str">
        <f t="shared" si="5"/>
        <v/>
      </c>
      <c r="Q22" s="9" t="str">
        <f t="shared" si="6"/>
        <v/>
      </c>
      <c r="R22" s="23" t="str">
        <f t="shared" si="7"/>
        <v/>
      </c>
      <c r="S22" s="9" t="str">
        <f t="shared" si="8"/>
        <v/>
      </c>
      <c r="T22" s="15" t="str">
        <f t="shared" si="9"/>
        <v/>
      </c>
      <c r="U22" s="16" t="str">
        <f t="shared" si="10"/>
        <v/>
      </c>
      <c r="V22" s="9" t="str">
        <f t="shared" si="11"/>
        <v/>
      </c>
      <c r="W22" s="6" t="str">
        <f>IF(B22="","",50.7*V22*(VLOOKUP($K$5,Data!$A$14:$I$20,7)/(VLOOKUP(E22,Pipe_ID[],IF(Summary!G22=7.4,2,IF(Summary!G22=9,3,IF(Summary!G22=11,4,IF(Summary!G22=13.5,5,IF(Summary!G22=15.5,6,7))))))*VLOOKUP($K$5,Data!$A$14:$I$20,8))))</f>
        <v/>
      </c>
    </row>
    <row r="23" spans="2:23" x14ac:dyDescent="0.45">
      <c r="B23" s="4" t="str">
        <f>+IF($D$5&gt;=15,15,"")</f>
        <v/>
      </c>
      <c r="C23" s="22"/>
      <c r="D23" s="1"/>
      <c r="E23" s="5"/>
      <c r="F23" s="6"/>
      <c r="G23" s="1"/>
      <c r="H23" s="8" t="str">
        <f t="shared" si="4"/>
        <v/>
      </c>
      <c r="I23" s="1" t="str">
        <f>IF(E23="","",VLOOKUP(E23,Ref_gpm[],IF(Summary!G23=7.4,2,IF(Summary!G23=9,3,IF(Summary!G23=11,4,IF(Summary!G23=13.5,5,IF(Summary!G23=15.5,6,7)))))))</f>
        <v/>
      </c>
      <c r="J23" s="1" t="str">
        <f>IF(E23="","",VLOOKUP(E23,Ref_DP[],IF(Summary!G23=7.4,2,IF(Summary!G23=9,3,IF(Summary!G23=11,4,IF(Summary!G23=13.5,5,IF(Summary!G23=15.5,6,7)))))))</f>
        <v/>
      </c>
      <c r="K23" s="6"/>
      <c r="L23" s="5"/>
      <c r="M23" s="1"/>
      <c r="N23" s="1" t="str">
        <f>IF(L23="","",VLOOKUP(L23,Ref_gpm[],IF(Summary!M23=7.4,2,IF(Summary!M23=9,3,IF(Summary!M23=11,4,IF(Summary!M23=13.5,5,IF(Summary!M23=15.5,6,7)))))))</f>
        <v/>
      </c>
      <c r="O23" s="1" t="str">
        <f>IF(L23="","",VLOOKUP(L23,Ref_DP[],IF(Summary!M23=7.4,2,IF(Summary!M23=9,3,IF(Summary!M23=11,4,IF(Summary!M23=13.5,5,IF(Summary!M23=15.5,6,7)))))))</f>
        <v/>
      </c>
      <c r="P23" s="9" t="str">
        <f t="shared" si="5"/>
        <v/>
      </c>
      <c r="Q23" s="9" t="str">
        <f t="shared" si="6"/>
        <v/>
      </c>
      <c r="R23" s="23" t="str">
        <f t="shared" si="7"/>
        <v/>
      </c>
      <c r="S23" s="9" t="str">
        <f t="shared" si="8"/>
        <v/>
      </c>
      <c r="T23" s="15" t="str">
        <f t="shared" si="9"/>
        <v/>
      </c>
      <c r="U23" s="16" t="str">
        <f t="shared" si="10"/>
        <v/>
      </c>
      <c r="V23" s="9" t="str">
        <f t="shared" si="11"/>
        <v/>
      </c>
      <c r="W23" s="6" t="str">
        <f>IF(B23="","",50.7*V23*(VLOOKUP($K$5,Data!$A$14:$I$20,7)/(VLOOKUP(E23,Pipe_ID[],IF(Summary!G23=7.4,2,IF(Summary!G23=9,3,IF(Summary!G23=11,4,IF(Summary!G23=13.5,5,IF(Summary!G23=15.5,6,7))))))*VLOOKUP($K$5,Data!$A$14:$I$20,8))))</f>
        <v/>
      </c>
    </row>
    <row r="24" spans="2:23" x14ac:dyDescent="0.45">
      <c r="B24" s="4"/>
    </row>
  </sheetData>
  <mergeCells count="6">
    <mergeCell ref="K7:O7"/>
    <mergeCell ref="R6:S6"/>
    <mergeCell ref="T7:V7"/>
    <mergeCell ref="R1:W1"/>
    <mergeCell ref="A1:F1"/>
    <mergeCell ref="D7:J7"/>
  </mergeCells>
  <conditionalFormatting sqref="C9:D23">
    <cfRule type="expression" dxfId="9" priority="14">
      <formula>$B9&lt;&gt;""</formula>
    </cfRule>
  </conditionalFormatting>
  <conditionalFormatting sqref="E9:E23">
    <cfRule type="expression" dxfId="8" priority="13">
      <formula>$B9&lt;&gt;""</formula>
    </cfRule>
  </conditionalFormatting>
  <conditionalFormatting sqref="F9:F23">
    <cfRule type="expression" dxfId="7" priority="11">
      <formula>$B9&lt;&gt;""</formula>
    </cfRule>
  </conditionalFormatting>
  <conditionalFormatting sqref="K9:K23">
    <cfRule type="expression" dxfId="6" priority="10">
      <formula>$B9&lt;&gt;""</formula>
    </cfRule>
  </conditionalFormatting>
  <conditionalFormatting sqref="L9:M9">
    <cfRule type="expression" dxfId="5" priority="9">
      <formula>$B9&lt;&gt;""</formula>
    </cfRule>
  </conditionalFormatting>
  <conditionalFormatting sqref="G9:G23">
    <cfRule type="expression" dxfId="4" priority="6">
      <formula>$B9&lt;&gt;""</formula>
    </cfRule>
  </conditionalFormatting>
  <conditionalFormatting sqref="M10:M23">
    <cfRule type="expression" dxfId="3" priority="4">
      <formula>$B10&lt;&gt;""</formula>
    </cfRule>
  </conditionalFormatting>
  <conditionalFormatting sqref="L10:L23">
    <cfRule type="expression" dxfId="2" priority="3">
      <formula>$B10&lt;&gt;""</formula>
    </cfRule>
  </conditionalFormatting>
  <conditionalFormatting sqref="W9:W23">
    <cfRule type="expression" dxfId="1" priority="2">
      <formula>$W9&lt;2500</formula>
    </cfRule>
  </conditionalFormatting>
  <conditionalFormatting sqref="R9:R23">
    <cfRule type="expression" dxfId="0" priority="1">
      <formula>B9&lt;&gt;""</formula>
    </cfRule>
  </conditionalFormatting>
  <dataValidations count="2">
    <dataValidation type="whole" allowBlank="1" showInputMessage="1" showErrorMessage="1" errorTitle="ERROR" error="Circuit Length Outside Acceptable Range" promptTitle="Loop Length (ft)" prompt="Enter value between 10 &amp; 2000" sqref="F9:F23" xr:uid="{11926B8E-54FD-4702-835A-AC06EA7548AE}">
      <formula1>10</formula1>
      <formula2>2000</formula2>
    </dataValidation>
    <dataValidation type="whole" allowBlank="1" showInputMessage="1" showErrorMessage="1" errorTitle="ERROR" error="Circuit Length Outside Acceptable Range" promptTitle="Supply/Return Length" prompt="Enter value between 10 &amp; 2000 reflect Total Equivalent Length of Supply/Return Piping to Middle of Reverse Return Buried Manifold" sqref="K9:K23" xr:uid="{DCFB0CAC-E815-4049-9310-19052EDCECF1}">
      <formula1>10</formula1>
      <formula2>2000</formula2>
    </dataValidation>
  </dataValidations>
  <printOptions horizontalCentered="1" verticalCentered="1"/>
  <pageMargins left="0.5" right="0.5" top="0.75" bottom="0.75" header="0.3" footer="0.3"/>
  <pageSetup scale="85" orientation="landscape" horizontalDpi="1200" verticalDpi="1200" r:id="rId1"/>
  <headerFooter>
    <oddFooter>&amp;L&amp;G&amp;Cphoenixeneregysupply.com&amp;R&amp;D &amp;T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Scroll Bar 3">
              <controlPr defaultSize="0" autoPict="0">
                <anchor moveWithCells="1">
                  <from>
                    <xdr:col>4</xdr:col>
                    <xdr:colOff>4763</xdr:colOff>
                    <xdr:row>4</xdr:row>
                    <xdr:rowOff>19050</xdr:rowOff>
                  </from>
                  <to>
                    <xdr:col>6</xdr:col>
                    <xdr:colOff>342900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Drop Down 18">
              <controlPr defaultSize="0" autoLine="0" autoPict="0">
                <anchor moveWithCells="1">
                  <from>
                    <xdr:col>10</xdr:col>
                    <xdr:colOff>9525</xdr:colOff>
                    <xdr:row>3</xdr:row>
                    <xdr:rowOff>166688</xdr:rowOff>
                  </from>
                  <to>
                    <xdr:col>16</xdr:col>
                    <xdr:colOff>33338</xdr:colOff>
                    <xdr:row>5</xdr:row>
                    <xdr:rowOff>14288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Antifeeze" xr:uid="{A4D7CC2E-A452-4AF5-9FD2-421259777F57}">
          <x14:formula1>
            <xm:f>Data!$C$14:$C$20</xm:f>
          </x14:formula1>
          <xm:sqref>K5</xm:sqref>
        </x14:dataValidation>
        <x14:dataValidation type="list" allowBlank="1" showInputMessage="1" showErrorMessage="1" xr:uid="{333549CF-4CD1-4CA5-B6DD-C909C8B1D25E}">
          <x14:formula1>
            <xm:f>Data!$A$34:$A$38</xm:f>
          </x14:formula1>
          <xm:sqref>E9:E23</xm:sqref>
        </x14:dataValidation>
        <x14:dataValidation type="list" allowBlank="1" showInputMessage="1" showErrorMessage="1" promptTitle="S/R Diam" prompt="Select the Diameter of the Supply/Return Piping" xr:uid="{4D3A90FC-2D2B-441B-835F-9D652570B5BC}">
          <x14:formula1>
            <xm:f>Data!$A$34:$A$42</xm:f>
          </x14:formula1>
          <xm:sqref>L9:L23</xm:sqref>
        </x14:dataValidation>
        <x14:dataValidation type="list" allowBlank="1" showInputMessage="1" showErrorMessage="1" promptTitle="Loop DR" prompt="Select the DR of the loop piping" xr:uid="{27D9F352-5811-400A-9184-A3C81BA1000A}">
          <x14:formula1>
            <xm:f>Data!$B$34:$B$39</xm:f>
          </x14:formula1>
          <xm:sqref>G9:G23</xm:sqref>
        </x14:dataValidation>
        <x14:dataValidation type="list" allowBlank="1" showInputMessage="1" showErrorMessage="1" promptTitle="S/R DR" prompt="Select the DR of the Supply/Return Piping" xr:uid="{288288B0-B12B-4369-9C74-2A23CB4D8FBD}">
          <x14:formula1>
            <xm:f>Data!$B$34:$B$39</xm:f>
          </x14:formula1>
          <xm:sqref>M9:M23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E37FE-2708-428C-9F9B-CF1A7BFF53EC}">
  <sheetPr codeName="Sheet2"/>
  <dimension ref="A1:O42"/>
  <sheetViews>
    <sheetView zoomScale="175" zoomScaleNormal="175" workbookViewId="0">
      <selection activeCell="I21" sqref="I21"/>
    </sheetView>
  </sheetViews>
  <sheetFormatPr defaultRowHeight="14.25" x14ac:dyDescent="0.45"/>
  <sheetData>
    <row r="1" spans="1:15" x14ac:dyDescent="0.45">
      <c r="A1" s="24" t="s">
        <v>6</v>
      </c>
      <c r="B1" s="24"/>
      <c r="C1" s="24"/>
      <c r="D1" s="24"/>
      <c r="E1" s="24"/>
      <c r="F1" s="24"/>
      <c r="G1" s="24"/>
      <c r="I1" s="24" t="s">
        <v>7</v>
      </c>
      <c r="J1" s="24"/>
      <c r="K1" s="24"/>
      <c r="L1" s="24"/>
      <c r="M1" s="24"/>
      <c r="N1" s="24"/>
      <c r="O1" s="24"/>
    </row>
    <row r="2" spans="1:15" x14ac:dyDescent="0.45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x14ac:dyDescent="0.45">
      <c r="A3" s="5">
        <v>0.75</v>
      </c>
      <c r="B3" s="9">
        <v>2.9</v>
      </c>
      <c r="C3" s="9">
        <v>3.3</v>
      </c>
      <c r="D3" s="9">
        <v>3.7</v>
      </c>
      <c r="E3" s="9">
        <v>3.8</v>
      </c>
      <c r="F3" s="9">
        <v>4.0999999999999996</v>
      </c>
      <c r="G3" s="9">
        <v>4.2</v>
      </c>
      <c r="H3" s="1"/>
      <c r="I3" s="5">
        <v>0.75</v>
      </c>
      <c r="J3" s="13">
        <v>2.58</v>
      </c>
      <c r="K3" s="13">
        <v>2.4020000000000001</v>
      </c>
      <c r="L3" s="13">
        <v>2.3075000000000001</v>
      </c>
      <c r="M3" s="13">
        <v>2.1219999999999999</v>
      </c>
      <c r="N3" s="13">
        <v>2.0684</v>
      </c>
      <c r="O3" s="13">
        <v>2.0301</v>
      </c>
    </row>
    <row r="4" spans="1:15" x14ac:dyDescent="0.45">
      <c r="A4" s="5">
        <v>1</v>
      </c>
      <c r="B4" s="9">
        <v>4.5</v>
      </c>
      <c r="C4" s="9">
        <v>5.2</v>
      </c>
      <c r="D4" s="9">
        <v>5.7</v>
      </c>
      <c r="E4" s="9">
        <v>6</v>
      </c>
      <c r="F4" s="9">
        <v>6.5</v>
      </c>
      <c r="G4" s="9">
        <v>6.6</v>
      </c>
      <c r="H4" s="1"/>
      <c r="I4" s="5">
        <v>1</v>
      </c>
      <c r="J4" s="13">
        <v>1.944</v>
      </c>
      <c r="K4" s="13">
        <v>1.8619000000000001</v>
      </c>
      <c r="L4" s="13">
        <v>1.7314000000000001</v>
      </c>
      <c r="M4" s="13">
        <v>1.651</v>
      </c>
      <c r="N4" s="13">
        <v>1.6214</v>
      </c>
      <c r="O4" s="13">
        <v>1.5656000000000001</v>
      </c>
    </row>
    <row r="5" spans="1:15" x14ac:dyDescent="0.45">
      <c r="A5" s="5">
        <v>1.25</v>
      </c>
      <c r="B5" s="9">
        <v>7.2</v>
      </c>
      <c r="C5" s="9">
        <v>8.1999999999999993</v>
      </c>
      <c r="D5" s="9">
        <v>9.1</v>
      </c>
      <c r="E5" s="9">
        <v>9.6</v>
      </c>
      <c r="F5" s="9">
        <v>10.3</v>
      </c>
      <c r="G5" s="9">
        <v>10.5</v>
      </c>
      <c r="H5" s="1"/>
      <c r="I5" s="5">
        <v>1.25</v>
      </c>
      <c r="J5" s="13">
        <v>1.4910000000000001</v>
      </c>
      <c r="K5" s="13">
        <v>1.3904000000000001</v>
      </c>
      <c r="L5" s="13">
        <v>1.3182</v>
      </c>
      <c r="M5" s="13">
        <v>1.2665</v>
      </c>
      <c r="N5" s="13">
        <v>1.2218</v>
      </c>
      <c r="O5" s="13">
        <v>1.1883999999999999</v>
      </c>
    </row>
    <row r="6" spans="1:15" x14ac:dyDescent="0.45">
      <c r="A6" s="5">
        <v>1.5</v>
      </c>
      <c r="B6" s="9">
        <v>9.4</v>
      </c>
      <c r="C6" s="9">
        <v>10.7</v>
      </c>
      <c r="D6" s="9">
        <v>11.9</v>
      </c>
      <c r="E6" s="9">
        <v>12.5</v>
      </c>
      <c r="F6" s="9">
        <v>13.5</v>
      </c>
      <c r="G6" s="9">
        <v>13.8</v>
      </c>
      <c r="H6" s="1"/>
      <c r="I6" s="5">
        <v>1.5</v>
      </c>
      <c r="J6" s="13">
        <v>1.2849999999999999</v>
      </c>
      <c r="K6" s="13">
        <v>1.1785000000000001</v>
      </c>
      <c r="L6" s="13">
        <v>1.123</v>
      </c>
      <c r="M6" s="13">
        <v>1.0692999999999999</v>
      </c>
      <c r="N6" s="13">
        <v>1.0441</v>
      </c>
      <c r="O6" s="13">
        <v>1.0207999999999999</v>
      </c>
    </row>
    <row r="7" spans="1:15" x14ac:dyDescent="0.45">
      <c r="A7" s="5">
        <v>2</v>
      </c>
      <c r="B7" s="9">
        <v>14.7</v>
      </c>
      <c r="C7" s="9">
        <v>16.7</v>
      </c>
      <c r="D7" s="9">
        <v>18.5</v>
      </c>
      <c r="E7" s="9">
        <v>19.600000000000001</v>
      </c>
      <c r="F7" s="9">
        <v>20.9</v>
      </c>
      <c r="G7" s="9">
        <v>21.5</v>
      </c>
      <c r="H7" s="1"/>
      <c r="I7" s="5">
        <v>2</v>
      </c>
      <c r="J7" s="13">
        <v>2.8929999999999998</v>
      </c>
      <c r="K7" s="13">
        <v>0.90590000000000004</v>
      </c>
      <c r="L7" s="13">
        <v>0.85580000000000001</v>
      </c>
      <c r="M7" s="13">
        <v>0.82899999999999996</v>
      </c>
      <c r="N7" s="13">
        <v>0.79059999999999997</v>
      </c>
      <c r="O7" s="13">
        <v>0.78200000000000003</v>
      </c>
    </row>
    <row r="8" spans="1:15" x14ac:dyDescent="0.45">
      <c r="A8" s="5">
        <v>3</v>
      </c>
      <c r="B8" s="9">
        <v>32</v>
      </c>
      <c r="C8" s="9">
        <v>36.299999999999997</v>
      </c>
      <c r="D8" s="9">
        <v>40.200000000000003</v>
      </c>
      <c r="E8" s="9">
        <v>42.6</v>
      </c>
      <c r="F8" s="9">
        <v>45.4</v>
      </c>
      <c r="G8" s="9">
        <v>46.6</v>
      </c>
      <c r="H8" s="1"/>
      <c r="I8" s="5">
        <v>3</v>
      </c>
      <c r="J8" s="13">
        <v>0.62270000000000003</v>
      </c>
      <c r="K8" s="13">
        <v>0.57640000000000002</v>
      </c>
      <c r="L8" s="13">
        <v>0.54369999999999996</v>
      </c>
      <c r="M8" s="13">
        <v>0.52739999999999998</v>
      </c>
      <c r="N8" s="13">
        <v>0.50249999999999995</v>
      </c>
      <c r="O8" s="13">
        <v>0.495</v>
      </c>
    </row>
    <row r="9" spans="1:15" x14ac:dyDescent="0.45">
      <c r="A9" s="5">
        <v>4</v>
      </c>
      <c r="B9" s="9">
        <v>52.7</v>
      </c>
      <c r="C9" s="9">
        <v>60</v>
      </c>
      <c r="D9" s="9">
        <v>66.3</v>
      </c>
      <c r="E9" s="9">
        <v>70.400000000000006</v>
      </c>
      <c r="F9" s="9">
        <v>75.099999999999994</v>
      </c>
      <c r="G9" s="9">
        <v>77.3</v>
      </c>
      <c r="H9" s="1"/>
      <c r="I9" s="5">
        <v>4</v>
      </c>
      <c r="J9" s="13">
        <v>0.46089999999999998</v>
      </c>
      <c r="K9" s="13">
        <v>0.42949999999999999</v>
      </c>
      <c r="L9" s="13">
        <v>0.40360000000000001</v>
      </c>
      <c r="M9" s="13">
        <v>0.39279999999999998</v>
      </c>
      <c r="N9" s="13">
        <v>0.37490000000000001</v>
      </c>
      <c r="O9" s="13">
        <v>0.37130000000000002</v>
      </c>
    </row>
    <row r="10" spans="1:15" x14ac:dyDescent="0.45">
      <c r="A10" s="5">
        <v>6</v>
      </c>
      <c r="B10" s="9">
        <v>114.5</v>
      </c>
      <c r="C10" s="9">
        <v>130</v>
      </c>
      <c r="D10" s="9">
        <v>143.9</v>
      </c>
      <c r="E10" s="9">
        <v>152.6</v>
      </c>
      <c r="F10" s="9">
        <v>162.69999999999999</v>
      </c>
      <c r="G10" s="9">
        <v>167.2</v>
      </c>
      <c r="H10" s="1"/>
      <c r="I10" s="5">
        <v>6</v>
      </c>
      <c r="J10" s="13">
        <v>0.2944</v>
      </c>
      <c r="K10" s="13">
        <v>0.27300000000000002</v>
      </c>
      <c r="L10" s="13">
        <v>0.25729999999999997</v>
      </c>
      <c r="M10" s="13">
        <v>0.24990000000000001</v>
      </c>
      <c r="N10" s="13">
        <v>0.23830000000000001</v>
      </c>
      <c r="O10" s="13">
        <v>0.23519999999999999</v>
      </c>
    </row>
    <row r="11" spans="1:15" x14ac:dyDescent="0.45">
      <c r="A11" s="5">
        <v>8</v>
      </c>
      <c r="B11" s="9">
        <v>194.4</v>
      </c>
      <c r="C11" s="9">
        <v>220.5</v>
      </c>
      <c r="D11" s="9">
        <v>244.4</v>
      </c>
      <c r="E11" s="9">
        <v>258</v>
      </c>
      <c r="F11" s="9">
        <v>276.8</v>
      </c>
      <c r="G11" s="9">
        <v>284.2</v>
      </c>
      <c r="H11" s="1"/>
      <c r="I11" s="5">
        <v>8</v>
      </c>
      <c r="J11" s="13">
        <v>0.21690000000000001</v>
      </c>
      <c r="K11" s="13">
        <v>0.20080000000000001</v>
      </c>
      <c r="L11" s="13">
        <v>0.1898</v>
      </c>
      <c r="M11" s="13">
        <v>0.1827</v>
      </c>
      <c r="N11" s="13">
        <v>0.1762</v>
      </c>
      <c r="O11" s="13">
        <v>0.17369999999999999</v>
      </c>
    </row>
    <row r="13" spans="1:15" ht="30" x14ac:dyDescent="0.45">
      <c r="A13" t="s">
        <v>42</v>
      </c>
      <c r="F13" s="20" t="s">
        <v>46</v>
      </c>
      <c r="G13" s="10" t="s">
        <v>43</v>
      </c>
      <c r="H13" s="10" t="s">
        <v>44</v>
      </c>
      <c r="I13" s="10" t="s">
        <v>45</v>
      </c>
    </row>
    <row r="14" spans="1:15" x14ac:dyDescent="0.45">
      <c r="A14" s="1">
        <v>1</v>
      </c>
      <c r="B14" s="19" t="s">
        <v>35</v>
      </c>
      <c r="F14" s="16"/>
      <c r="G14" s="14">
        <v>62.55</v>
      </c>
      <c r="H14" s="14">
        <v>1.55</v>
      </c>
      <c r="I14" s="14">
        <v>1</v>
      </c>
    </row>
    <row r="15" spans="1:15" x14ac:dyDescent="0.45">
      <c r="A15" s="1">
        <v>2</v>
      </c>
      <c r="B15" s="19" t="s">
        <v>36</v>
      </c>
      <c r="C15" s="1"/>
      <c r="D15" s="1"/>
      <c r="E15" s="1"/>
      <c r="F15" s="16">
        <v>7.6999999999999999E-2</v>
      </c>
      <c r="G15" s="14">
        <v>61.88</v>
      </c>
      <c r="H15" s="14">
        <v>2.15</v>
      </c>
      <c r="I15" s="14">
        <v>1.0935699999999999</v>
      </c>
    </row>
    <row r="16" spans="1:15" x14ac:dyDescent="0.45">
      <c r="A16" s="1">
        <v>3</v>
      </c>
      <c r="B16" s="19" t="s">
        <v>37</v>
      </c>
      <c r="C16" s="1"/>
      <c r="D16" s="1"/>
      <c r="E16" s="1"/>
      <c r="F16" s="16">
        <v>0.12</v>
      </c>
      <c r="G16" s="14">
        <v>56.63</v>
      </c>
      <c r="H16" s="14">
        <v>2.7</v>
      </c>
      <c r="I16" s="14">
        <v>1.19082</v>
      </c>
    </row>
    <row r="17" spans="1:15" x14ac:dyDescent="0.45">
      <c r="A17" s="1">
        <v>4</v>
      </c>
      <c r="B17" s="19" t="s">
        <v>38</v>
      </c>
      <c r="C17" s="1"/>
      <c r="D17" s="1"/>
      <c r="E17" s="1"/>
      <c r="F17" s="16">
        <v>0.16300000000000001</v>
      </c>
      <c r="G17" s="14">
        <v>61.35</v>
      </c>
      <c r="H17" s="14">
        <v>3.3</v>
      </c>
      <c r="I17" s="14">
        <v>1.2305299999999999</v>
      </c>
      <c r="K17" s="1"/>
      <c r="L17" s="1"/>
      <c r="M17" s="1"/>
      <c r="N17" s="1"/>
      <c r="O17" s="1"/>
    </row>
    <row r="18" spans="1:15" x14ac:dyDescent="0.45">
      <c r="A18" s="1">
        <v>5</v>
      </c>
      <c r="B18" s="19" t="s">
        <v>39</v>
      </c>
      <c r="C18" s="1"/>
      <c r="D18" s="1"/>
      <c r="E18" s="1"/>
      <c r="F18" s="16">
        <v>0.128</v>
      </c>
      <c r="G18" s="14">
        <v>63.38</v>
      </c>
      <c r="H18" s="14">
        <v>1.9</v>
      </c>
      <c r="I18" s="14">
        <v>1.05148</v>
      </c>
      <c r="K18" s="1"/>
      <c r="L18" s="1"/>
      <c r="M18" s="1"/>
      <c r="N18" s="1"/>
      <c r="O18" s="1"/>
    </row>
    <row r="19" spans="1:15" x14ac:dyDescent="0.45">
      <c r="A19" s="1">
        <v>6</v>
      </c>
      <c r="B19" s="19" t="s">
        <v>40</v>
      </c>
      <c r="C19" s="1"/>
      <c r="D19" s="1"/>
      <c r="E19" s="1"/>
      <c r="F19" s="16">
        <v>0.18</v>
      </c>
      <c r="G19" s="14">
        <v>63.68</v>
      </c>
      <c r="H19" s="14">
        <v>3</v>
      </c>
      <c r="I19" s="14">
        <v>1.18696</v>
      </c>
      <c r="K19" s="1"/>
      <c r="L19" s="1"/>
      <c r="M19" s="1"/>
      <c r="N19" s="1"/>
      <c r="O19" s="1"/>
    </row>
    <row r="20" spans="1:15" x14ac:dyDescent="0.45">
      <c r="A20" s="1">
        <v>7</v>
      </c>
      <c r="B20" s="19" t="s">
        <v>41</v>
      </c>
      <c r="C20" s="1"/>
      <c r="D20" s="1"/>
      <c r="E20" s="1"/>
      <c r="F20" s="16">
        <v>0.23</v>
      </c>
      <c r="G20" s="14">
        <v>64.13</v>
      </c>
      <c r="H20" s="14">
        <v>6.3</v>
      </c>
      <c r="I20" s="14">
        <v>1.34</v>
      </c>
      <c r="K20" s="1"/>
      <c r="L20" s="1"/>
      <c r="M20" s="1"/>
      <c r="N20" s="1"/>
      <c r="O20" s="1"/>
    </row>
    <row r="21" spans="1:15" x14ac:dyDescent="0.45">
      <c r="A21" s="1"/>
      <c r="B21" s="19"/>
      <c r="C21" s="1"/>
      <c r="D21" s="1"/>
      <c r="E21" s="1"/>
      <c r="F21" s="16"/>
      <c r="G21" s="14"/>
      <c r="H21" s="14"/>
      <c r="I21" s="14"/>
      <c r="K21" s="1"/>
      <c r="L21" s="1"/>
      <c r="M21" s="1"/>
      <c r="N21" s="1"/>
      <c r="O21" s="1"/>
    </row>
    <row r="22" spans="1:15" x14ac:dyDescent="0.45">
      <c r="A22" s="19" t="s">
        <v>48</v>
      </c>
      <c r="B22" s="19"/>
      <c r="F22" s="16"/>
      <c r="G22" s="14"/>
      <c r="H22" s="14"/>
      <c r="I22" s="14"/>
      <c r="K22" s="1"/>
      <c r="L22" s="1"/>
      <c r="M22" s="1"/>
      <c r="N22" s="1"/>
      <c r="O22" s="1"/>
    </row>
    <row r="23" spans="1:15" x14ac:dyDescent="0.45">
      <c r="A23" s="1" t="s">
        <v>8</v>
      </c>
      <c r="B23" s="1" t="s">
        <v>9</v>
      </c>
      <c r="C23" s="1" t="s">
        <v>10</v>
      </c>
      <c r="D23" s="1" t="s">
        <v>11</v>
      </c>
      <c r="E23" s="1" t="s">
        <v>12</v>
      </c>
      <c r="F23" s="1" t="s">
        <v>13</v>
      </c>
      <c r="G23" s="1" t="s">
        <v>14</v>
      </c>
      <c r="H23" s="14"/>
      <c r="I23" s="14"/>
      <c r="K23" s="1"/>
      <c r="L23" s="1"/>
      <c r="M23" s="1"/>
      <c r="N23" s="1"/>
      <c r="O23" s="1"/>
    </row>
    <row r="24" spans="1:15" x14ac:dyDescent="0.45">
      <c r="A24" s="5">
        <v>0.75</v>
      </c>
      <c r="B24" s="13">
        <v>0.76600000000000001</v>
      </c>
      <c r="C24" s="13">
        <v>0.81699999999999995</v>
      </c>
      <c r="D24" s="13">
        <v>0.86</v>
      </c>
      <c r="E24" s="13">
        <v>0.88400000000000001</v>
      </c>
      <c r="F24" s="13">
        <v>0.91500000000000004</v>
      </c>
      <c r="G24" s="13">
        <v>0.92600000000000005</v>
      </c>
      <c r="I24" s="14"/>
    </row>
    <row r="25" spans="1:15" x14ac:dyDescent="0.45">
      <c r="A25" s="5">
        <v>1</v>
      </c>
      <c r="B25" s="13">
        <v>0.96</v>
      </c>
      <c r="C25" s="13">
        <v>1.0229999999999999</v>
      </c>
      <c r="D25" s="13">
        <v>1.075</v>
      </c>
      <c r="E25" s="13">
        <v>1.107</v>
      </c>
      <c r="F25" s="13">
        <v>1.145</v>
      </c>
      <c r="G25" s="13">
        <v>1.1599999999999999</v>
      </c>
    </row>
    <row r="26" spans="1:15" x14ac:dyDescent="0.45">
      <c r="A26" s="5">
        <v>1.25</v>
      </c>
      <c r="B26" s="13">
        <v>1.2110000000000001</v>
      </c>
      <c r="C26" s="13">
        <v>1.2909999999999999</v>
      </c>
      <c r="D26" s="13">
        <v>1.3580000000000001</v>
      </c>
      <c r="E26" s="13">
        <v>1.397</v>
      </c>
      <c r="F26" s="13">
        <v>1.446</v>
      </c>
      <c r="G26" s="13">
        <v>1.4650000000000001</v>
      </c>
    </row>
    <row r="27" spans="1:15" x14ac:dyDescent="0.45">
      <c r="A27" s="5">
        <v>1.5</v>
      </c>
      <c r="B27" s="13">
        <v>1.3859999999999999</v>
      </c>
      <c r="C27" s="13">
        <v>1.478</v>
      </c>
      <c r="D27" s="13">
        <v>1.554</v>
      </c>
      <c r="E27" s="13">
        <v>1.599</v>
      </c>
      <c r="F27" s="13">
        <v>1.655</v>
      </c>
      <c r="G27" s="13">
        <v>1.6759999999999999</v>
      </c>
    </row>
    <row r="28" spans="1:15" x14ac:dyDescent="0.45">
      <c r="A28" s="5">
        <v>2</v>
      </c>
      <c r="B28" s="13">
        <v>1.7330000000000001</v>
      </c>
      <c r="C28" s="13">
        <v>1.847</v>
      </c>
      <c r="D28" s="13">
        <v>1.9430000000000001</v>
      </c>
      <c r="E28" s="13">
        <v>1.9990000000000001</v>
      </c>
      <c r="F28" s="13">
        <v>2.069</v>
      </c>
      <c r="G28" s="13">
        <v>2.0960000000000001</v>
      </c>
    </row>
    <row r="29" spans="1:15" x14ac:dyDescent="0.45">
      <c r="A29" s="5">
        <v>3</v>
      </c>
      <c r="B29" s="13">
        <v>2.5539999999999998</v>
      </c>
      <c r="C29" s="13">
        <v>2.722</v>
      </c>
      <c r="D29" s="13">
        <v>2.8639999999999999</v>
      </c>
      <c r="E29" s="13">
        <v>2.9460000000000002</v>
      </c>
      <c r="F29" s="13">
        <v>3.0484</v>
      </c>
      <c r="G29" s="13">
        <v>3.0882000000000001</v>
      </c>
    </row>
    <row r="30" spans="1:15" x14ac:dyDescent="0.45">
      <c r="A30" s="5">
        <v>4</v>
      </c>
      <c r="B30" s="13">
        <v>3.2839999999999998</v>
      </c>
      <c r="C30" s="13">
        <v>3.5</v>
      </c>
      <c r="D30" s="13">
        <v>3.6819999999999999</v>
      </c>
      <c r="E30" s="13">
        <v>3.7879999999999998</v>
      </c>
      <c r="F30" s="13">
        <v>3.9194</v>
      </c>
      <c r="G30" s="13">
        <v>3.9706000000000001</v>
      </c>
    </row>
    <row r="31" spans="1:15" x14ac:dyDescent="0.45">
      <c r="A31" s="5">
        <v>6</v>
      </c>
      <c r="B31" s="13">
        <v>4.8339999999999996</v>
      </c>
      <c r="C31" s="13">
        <v>5.1529999999999996</v>
      </c>
      <c r="D31" s="13">
        <v>5.4210000000000003</v>
      </c>
      <c r="E31" s="13">
        <v>5.577</v>
      </c>
      <c r="F31" s="13">
        <v>5.7702</v>
      </c>
      <c r="G31" s="13">
        <v>5.8456000000000001</v>
      </c>
    </row>
    <row r="32" spans="1:15" x14ac:dyDescent="0.45">
      <c r="A32" s="5">
        <v>8</v>
      </c>
      <c r="B32" s="13">
        <v>6.2939999999999996</v>
      </c>
      <c r="C32" s="13">
        <v>6.7080000000000002</v>
      </c>
      <c r="D32" s="13">
        <v>7.0570000000000004</v>
      </c>
      <c r="E32" s="13">
        <v>7.26</v>
      </c>
      <c r="F32" s="13">
        <v>7.5121000000000002</v>
      </c>
      <c r="G32" s="13">
        <v>7.6102999999999996</v>
      </c>
    </row>
    <row r="34" spans="1:2" x14ac:dyDescent="0.45">
      <c r="A34" s="5">
        <v>0.75</v>
      </c>
      <c r="B34" s="1">
        <v>7.4</v>
      </c>
    </row>
    <row r="35" spans="1:2" x14ac:dyDescent="0.45">
      <c r="A35" s="5">
        <v>1</v>
      </c>
      <c r="B35" s="1">
        <v>9</v>
      </c>
    </row>
    <row r="36" spans="1:2" x14ac:dyDescent="0.45">
      <c r="A36" s="5">
        <v>1.25</v>
      </c>
      <c r="B36" s="1">
        <v>11</v>
      </c>
    </row>
    <row r="37" spans="1:2" x14ac:dyDescent="0.45">
      <c r="A37" s="5">
        <v>1.5</v>
      </c>
      <c r="B37" s="1">
        <v>13.5</v>
      </c>
    </row>
    <row r="38" spans="1:2" x14ac:dyDescent="0.45">
      <c r="A38" s="5">
        <v>2</v>
      </c>
      <c r="B38" s="1">
        <v>15.5</v>
      </c>
    </row>
    <row r="39" spans="1:2" x14ac:dyDescent="0.45">
      <c r="A39" s="5">
        <v>3</v>
      </c>
      <c r="B39" s="1">
        <v>17</v>
      </c>
    </row>
    <row r="40" spans="1:2" x14ac:dyDescent="0.45">
      <c r="A40" s="5">
        <v>4</v>
      </c>
    </row>
    <row r="41" spans="1:2" x14ac:dyDescent="0.45">
      <c r="A41" s="5">
        <v>6</v>
      </c>
    </row>
    <row r="42" spans="1:2" x14ac:dyDescent="0.45">
      <c r="A42" s="5">
        <v>8</v>
      </c>
    </row>
  </sheetData>
  <mergeCells count="2">
    <mergeCell ref="A1:G1"/>
    <mergeCell ref="I1:O1"/>
  </mergeCells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Data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Manning</dc:creator>
  <cp:lastModifiedBy>John Manning</cp:lastModifiedBy>
  <cp:lastPrinted>2023-02-15T14:10:54Z</cp:lastPrinted>
  <dcterms:created xsi:type="dcterms:W3CDTF">2023-02-12T17:03:23Z</dcterms:created>
  <dcterms:modified xsi:type="dcterms:W3CDTF">2023-02-15T14:23:37Z</dcterms:modified>
</cp:coreProperties>
</file>